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iasn\Desktop\"/>
    </mc:Choice>
  </mc:AlternateContent>
  <xr:revisionPtr revIDLastSave="0" documentId="13_ncr:1_{3501EDAF-5B3A-456A-A711-CA3CB1055C23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Instructions" sheetId="10" r:id="rId1"/>
    <sheet name="Master Score Sheet" sheetId="1" r:id="rId2"/>
    <sheet name="Stadium" sheetId="2" r:id="rId3"/>
    <sheet name="XC Time" sheetId="3" r:id="rId4"/>
    <sheet name="XC Jump" sheetId="7" r:id="rId5"/>
    <sheet name="Dressage" sheetId="9" r:id="rId6"/>
    <sheet name="Order of Go &amp; Master Sheet" sheetId="5" r:id="rId7"/>
    <sheet name="Judged or Unjudged" sheetId="8" state="hidden" r:id="rId8"/>
  </sheets>
  <definedNames>
    <definedName name="_xlnm.Print_Area" localSheetId="1">'Master Score Sheet'!$A$19:$N$31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N22" i="2"/>
  <c r="N23" i="2"/>
  <c r="N24" i="2"/>
  <c r="N25" i="2"/>
  <c r="N26" i="2"/>
  <c r="N20" i="2"/>
  <c r="C8" i="9" l="1"/>
  <c r="C9" i="9"/>
  <c r="C10" i="9"/>
  <c r="C11" i="9"/>
  <c r="C12" i="9"/>
  <c r="C13" i="9"/>
  <c r="C14" i="9"/>
  <c r="N21" i="9"/>
  <c r="L21" i="9"/>
  <c r="J21" i="9"/>
  <c r="C13" i="3" l="1"/>
  <c r="C12" i="3"/>
  <c r="C5" i="3"/>
  <c r="C4" i="3"/>
  <c r="C6" i="3" s="1"/>
  <c r="AG14" i="7"/>
  <c r="C7" i="3" l="1"/>
  <c r="C8" i="3" s="1"/>
  <c r="F30" i="9"/>
  <c r="Z15" i="7"/>
  <c r="A20" i="1"/>
  <c r="A1" i="1"/>
  <c r="A1" i="2"/>
  <c r="A1" i="9"/>
  <c r="C7" i="1"/>
  <c r="B7" i="1"/>
  <c r="D16" i="1"/>
  <c r="D15" i="1"/>
  <c r="D14" i="1"/>
  <c r="D13" i="1"/>
  <c r="D12" i="1"/>
  <c r="L35" i="3"/>
  <c r="M35" i="3" s="1"/>
  <c r="L36" i="3"/>
  <c r="M36" i="3" s="1"/>
  <c r="L37" i="3"/>
  <c r="M37" i="3" s="1"/>
  <c r="L38" i="3"/>
  <c r="M38" i="3" s="1"/>
  <c r="L39" i="3"/>
  <c r="M39" i="3" s="1"/>
  <c r="K35" i="3"/>
  <c r="K36" i="3"/>
  <c r="K37" i="3"/>
  <c r="K38" i="3"/>
  <c r="K39" i="3"/>
  <c r="H21" i="9"/>
  <c r="F21" i="9"/>
  <c r="D21" i="9"/>
  <c r="D7" i="3" l="1"/>
  <c r="E7" i="3" s="1"/>
  <c r="G11" i="1"/>
  <c r="E12" i="1"/>
  <c r="F15" i="1"/>
  <c r="G12" i="1"/>
  <c r="E13" i="1"/>
  <c r="F14" i="1"/>
  <c r="F16" i="1"/>
  <c r="G13" i="1"/>
  <c r="E14" i="1"/>
  <c r="G14" i="1"/>
  <c r="E15" i="1"/>
  <c r="E16" i="1"/>
  <c r="G16" i="1"/>
  <c r="F12" i="1"/>
  <c r="G15" i="1"/>
  <c r="F13" i="1"/>
  <c r="G10" i="1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29" i="9"/>
  <c r="F28" i="9"/>
  <c r="F27" i="9"/>
  <c r="F26" i="9"/>
  <c r="F25" i="9"/>
  <c r="F24" i="9"/>
  <c r="F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23" i="9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14" i="7"/>
  <c r="AA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A32" i="3"/>
  <c r="A33" i="3"/>
  <c r="A34" i="3"/>
  <c r="A35" i="3"/>
  <c r="A36" i="3"/>
  <c r="A37" i="3"/>
  <c r="A38" i="3"/>
  <c r="A39" i="3"/>
  <c r="C14" i="3"/>
  <c r="B8" i="9"/>
  <c r="B9" i="9"/>
  <c r="B10" i="9"/>
  <c r="B11" i="9"/>
  <c r="B12" i="9"/>
  <c r="B13" i="9"/>
  <c r="B14" i="9"/>
  <c r="C7" i="9"/>
  <c r="B7" i="9"/>
  <c r="C17" i="3" l="1"/>
  <c r="B36" i="3"/>
  <c r="P36" i="3"/>
  <c r="B35" i="3"/>
  <c r="P35" i="3"/>
  <c r="B34" i="3"/>
  <c r="P34" i="3"/>
  <c r="C33" i="3"/>
  <c r="P33" i="3"/>
  <c r="C37" i="3"/>
  <c r="P37" i="3"/>
  <c r="B29" i="3"/>
  <c r="B32" i="3"/>
  <c r="B39" i="3"/>
  <c r="P39" i="3"/>
  <c r="B31" i="3"/>
  <c r="B38" i="3"/>
  <c r="P38" i="3"/>
  <c r="B30" i="3"/>
  <c r="AF18" i="7"/>
  <c r="AF23" i="7"/>
  <c r="AF19" i="7"/>
  <c r="AF15" i="7"/>
  <c r="J52" i="9"/>
  <c r="D10" i="9" s="1"/>
  <c r="E10" i="9" s="1"/>
  <c r="F10" i="9" s="1"/>
  <c r="N52" i="9"/>
  <c r="D12" i="9" s="1"/>
  <c r="E12" i="9" s="1"/>
  <c r="F12" i="9" s="1"/>
  <c r="F52" i="9"/>
  <c r="R52" i="9"/>
  <c r="H52" i="9"/>
  <c r="D9" i="9" s="1"/>
  <c r="E9" i="9" s="1"/>
  <c r="F9" i="9" s="1"/>
  <c r="L52" i="9"/>
  <c r="D11" i="9" s="1"/>
  <c r="E11" i="9" s="1"/>
  <c r="F11" i="9" s="1"/>
  <c r="P52" i="9"/>
  <c r="AF14" i="7"/>
  <c r="D52" i="9"/>
  <c r="AF24" i="7"/>
  <c r="AF20" i="7"/>
  <c r="AF16" i="7"/>
  <c r="AF22" i="7"/>
  <c r="AF21" i="7"/>
  <c r="AF17" i="7"/>
  <c r="B37" i="3"/>
  <c r="C29" i="3"/>
  <c r="C31" i="3"/>
  <c r="C39" i="3"/>
  <c r="B33" i="3"/>
  <c r="C36" i="3"/>
  <c r="C34" i="3"/>
  <c r="C32" i="3"/>
  <c r="C35" i="3"/>
  <c r="C38" i="3"/>
  <c r="C30" i="3"/>
  <c r="C15" i="3"/>
  <c r="C16" i="3" s="1"/>
  <c r="F30" i="3"/>
  <c r="F31" i="3"/>
  <c r="F32" i="3"/>
  <c r="F33" i="3"/>
  <c r="F34" i="3"/>
  <c r="F35" i="3"/>
  <c r="F36" i="3"/>
  <c r="F37" i="3"/>
  <c r="F38" i="3"/>
  <c r="F39" i="3"/>
  <c r="W19" i="7"/>
  <c r="X19" i="7"/>
  <c r="Y19" i="7"/>
  <c r="AE19" i="7" s="1"/>
  <c r="W20" i="7"/>
  <c r="X20" i="7"/>
  <c r="Y20" i="7"/>
  <c r="AE20" i="7" s="1"/>
  <c r="W21" i="7"/>
  <c r="X21" i="7"/>
  <c r="Y21" i="7"/>
  <c r="AE21" i="7" s="1"/>
  <c r="W22" i="7"/>
  <c r="X22" i="7"/>
  <c r="Y22" i="7"/>
  <c r="W23" i="7"/>
  <c r="X23" i="7"/>
  <c r="Y23" i="7"/>
  <c r="W24" i="7"/>
  <c r="X24" i="7"/>
  <c r="Y24" i="7"/>
  <c r="AE24" i="7" s="1"/>
  <c r="D8" i="9" l="1"/>
  <c r="E8" i="9" s="1"/>
  <c r="F8" i="9" s="1"/>
  <c r="D13" i="9"/>
  <c r="E13" i="9" s="1"/>
  <c r="F13" i="9" s="1"/>
  <c r="D14" i="9"/>
  <c r="E14" i="9" s="1"/>
  <c r="F14" i="9" s="1"/>
  <c r="D7" i="9"/>
  <c r="B9" i="1"/>
  <c r="C9" i="1"/>
  <c r="B11" i="1"/>
  <c r="C11" i="1"/>
  <c r="C12" i="1"/>
  <c r="B12" i="1"/>
  <c r="C10" i="1"/>
  <c r="B10" i="1"/>
  <c r="B8" i="1"/>
  <c r="C8" i="1"/>
  <c r="AC24" i="7"/>
  <c r="AD19" i="7"/>
  <c r="AC21" i="7"/>
  <c r="AD24" i="7"/>
  <c r="AC23" i="7"/>
  <c r="AC20" i="7"/>
  <c r="AD21" i="7"/>
  <c r="B11" i="3"/>
  <c r="K3" i="1" s="1"/>
  <c r="AC19" i="7"/>
  <c r="AC22" i="7"/>
  <c r="AD22" i="7"/>
  <c r="I32" i="3"/>
  <c r="J30" i="3"/>
  <c r="I31" i="3"/>
  <c r="J33" i="3"/>
  <c r="J31" i="3"/>
  <c r="J34" i="3"/>
  <c r="I33" i="3"/>
  <c r="J32" i="3"/>
  <c r="I30" i="3"/>
  <c r="I7" i="1" s="1"/>
  <c r="I34" i="3"/>
  <c r="AE23" i="7"/>
  <c r="AD23" i="7"/>
  <c r="AD20" i="7"/>
  <c r="AE22" i="7"/>
  <c r="L34" i="3" l="1"/>
  <c r="M34" i="3" s="1"/>
  <c r="L33" i="3"/>
  <c r="M33" i="3" s="1"/>
  <c r="L32" i="3"/>
  <c r="M32" i="3" s="1"/>
  <c r="L31" i="3"/>
  <c r="M31" i="3" s="1"/>
  <c r="L30" i="3"/>
  <c r="M30" i="3" s="1"/>
  <c r="I9" i="1"/>
  <c r="I12" i="1"/>
  <c r="I14" i="1"/>
  <c r="I11" i="1"/>
  <c r="I10" i="1"/>
  <c r="K22" i="1"/>
  <c r="AG24" i="7"/>
  <c r="AG21" i="7"/>
  <c r="AG19" i="7"/>
  <c r="AG22" i="7"/>
  <c r="AG20" i="7"/>
  <c r="AG23" i="7"/>
  <c r="I29" i="3"/>
  <c r="I15" i="1" s="1"/>
  <c r="I16" i="1" l="1"/>
  <c r="I13" i="1"/>
  <c r="I8" i="1"/>
  <c r="I6" i="1"/>
  <c r="F29" i="3"/>
  <c r="B16" i="1" l="1"/>
  <c r="C16" i="1"/>
  <c r="B15" i="1"/>
  <c r="C15" i="1"/>
  <c r="B14" i="1"/>
  <c r="C14" i="1"/>
  <c r="C14" i="7" l="1"/>
  <c r="B14" i="7"/>
  <c r="X15" i="7" l="1"/>
  <c r="Y15" i="7"/>
  <c r="X16" i="7"/>
  <c r="Y16" i="7"/>
  <c r="X17" i="7"/>
  <c r="Y17" i="7"/>
  <c r="X18" i="7"/>
  <c r="Y18" i="7"/>
  <c r="X14" i="7"/>
  <c r="Y14" i="7"/>
  <c r="AE18" i="7" l="1"/>
  <c r="AE17" i="7"/>
  <c r="AE15" i="7"/>
  <c r="AE14" i="7"/>
  <c r="I35" i="3" l="1"/>
  <c r="J35" i="3"/>
  <c r="I36" i="3"/>
  <c r="J36" i="3"/>
  <c r="I37" i="3"/>
  <c r="J37" i="3"/>
  <c r="I38" i="3"/>
  <c r="J38" i="3"/>
  <c r="I39" i="3"/>
  <c r="J39" i="3"/>
  <c r="B13" i="1" l="1"/>
  <c r="C13" i="1"/>
  <c r="A21" i="1" l="1"/>
  <c r="G21" i="1" l="1"/>
  <c r="B3" i="2"/>
  <c r="H2" i="1" s="1"/>
  <c r="W18" i="7"/>
  <c r="W17" i="7"/>
  <c r="AE16" i="7"/>
  <c r="W16" i="7"/>
  <c r="W15" i="7"/>
  <c r="W14" i="7"/>
  <c r="B3" i="3"/>
  <c r="K2" i="1" s="1"/>
  <c r="J29" i="3"/>
  <c r="C9" i="3"/>
  <c r="B21" i="2"/>
  <c r="C21" i="2"/>
  <c r="C22" i="2"/>
  <c r="B23" i="2"/>
  <c r="C23" i="2"/>
  <c r="B24" i="2"/>
  <c r="C24" i="2"/>
  <c r="B25" i="2"/>
  <c r="C25" i="2"/>
  <c r="C26" i="2"/>
  <c r="B20" i="2"/>
  <c r="F21" i="2"/>
  <c r="E7" i="1" s="1"/>
  <c r="F22" i="2"/>
  <c r="E8" i="1" s="1"/>
  <c r="F23" i="2"/>
  <c r="E9" i="1" s="1"/>
  <c r="F24" i="2"/>
  <c r="E10" i="1" s="1"/>
  <c r="F25" i="2"/>
  <c r="E11" i="1" s="1"/>
  <c r="F26" i="2"/>
  <c r="F20" i="2"/>
  <c r="E6" i="1" s="1"/>
  <c r="P22" i="2"/>
  <c r="P23" i="2"/>
  <c r="P24" i="2"/>
  <c r="P25" i="2"/>
  <c r="P26" i="2"/>
  <c r="P20" i="2"/>
  <c r="L21" i="2"/>
  <c r="L22" i="2"/>
  <c r="L23" i="2"/>
  <c r="L24" i="2"/>
  <c r="L25" i="2"/>
  <c r="L26" i="2"/>
  <c r="L20" i="2"/>
  <c r="G21" i="2"/>
  <c r="G22" i="2"/>
  <c r="G23" i="2"/>
  <c r="G24" i="2"/>
  <c r="G25" i="2"/>
  <c r="G26" i="2"/>
  <c r="B6" i="2"/>
  <c r="C10" i="2" s="1"/>
  <c r="C8" i="2" s="1"/>
  <c r="G20" i="2"/>
  <c r="K30" i="3" l="1"/>
  <c r="K34" i="3"/>
  <c r="K31" i="3"/>
  <c r="K33" i="3"/>
  <c r="K32" i="3"/>
  <c r="K29" i="3"/>
  <c r="L29" i="3"/>
  <c r="M29" i="3" s="1"/>
  <c r="Q22" i="2"/>
  <c r="G8" i="1" s="1"/>
  <c r="C6" i="1"/>
  <c r="B6" i="1"/>
  <c r="C9" i="2"/>
  <c r="B7" i="2" s="1"/>
  <c r="N34" i="3"/>
  <c r="O34" i="3" s="1"/>
  <c r="Q34" i="3" s="1"/>
  <c r="N30" i="3"/>
  <c r="O30" i="3" s="1"/>
  <c r="N33" i="3"/>
  <c r="O33" i="3" s="1"/>
  <c r="N31" i="3"/>
  <c r="O31" i="3" s="1"/>
  <c r="N32" i="3"/>
  <c r="O32" i="3" s="1"/>
  <c r="C22" i="3"/>
  <c r="N29" i="3"/>
  <c r="N36" i="3"/>
  <c r="O36" i="3" s="1"/>
  <c r="N39" i="3"/>
  <c r="O39" i="3" s="1"/>
  <c r="N37" i="3"/>
  <c r="O37" i="3" s="1"/>
  <c r="N35" i="3"/>
  <c r="O35" i="3" s="1"/>
  <c r="N38" i="3"/>
  <c r="O38" i="3" s="1"/>
  <c r="AC14" i="7"/>
  <c r="AD14" i="7"/>
  <c r="AC15" i="7"/>
  <c r="AD15" i="7"/>
  <c r="AD17" i="7"/>
  <c r="AC17" i="7"/>
  <c r="AD16" i="7"/>
  <c r="AC16" i="7"/>
  <c r="AC18" i="7"/>
  <c r="AD18" i="7"/>
  <c r="K21" i="1"/>
  <c r="C20" i="2"/>
  <c r="B26" i="2"/>
  <c r="B22" i="2"/>
  <c r="Q20" i="2"/>
  <c r="G6" i="1" s="1"/>
  <c r="Q25" i="2"/>
  <c r="Q23" i="2"/>
  <c r="G9" i="1" s="1"/>
  <c r="Q21" i="2"/>
  <c r="G7" i="1" s="1"/>
  <c r="H23" i="2"/>
  <c r="I23" i="2" s="1"/>
  <c r="F9" i="1" s="1"/>
  <c r="H25" i="2"/>
  <c r="I25" i="2" s="1"/>
  <c r="H21" i="2"/>
  <c r="I21" i="2" s="1"/>
  <c r="F7" i="1" s="1"/>
  <c r="Q26" i="2"/>
  <c r="Q24" i="2"/>
  <c r="H20" i="2"/>
  <c r="I20" i="2" s="1"/>
  <c r="H24" i="2"/>
  <c r="I24" i="2" s="1"/>
  <c r="F10" i="1" s="1"/>
  <c r="H26" i="2"/>
  <c r="I26" i="2" s="1"/>
  <c r="H22" i="2"/>
  <c r="I22" i="2" s="1"/>
  <c r="F6" i="1" l="1"/>
  <c r="H6" i="1" s="1"/>
  <c r="S20" i="2"/>
  <c r="S25" i="2"/>
  <c r="F11" i="1"/>
  <c r="S22" i="2"/>
  <c r="F8" i="1"/>
  <c r="S23" i="2"/>
  <c r="S26" i="2"/>
  <c r="S24" i="2"/>
  <c r="C20" i="3"/>
  <c r="Q35" i="3"/>
  <c r="O29" i="3"/>
  <c r="J7" i="1" s="1"/>
  <c r="J14" i="1"/>
  <c r="J13" i="1"/>
  <c r="J10" i="1"/>
  <c r="J11" i="1"/>
  <c r="J15" i="1"/>
  <c r="J16" i="1"/>
  <c r="J12" i="1"/>
  <c r="J9" i="1"/>
  <c r="Q36" i="3"/>
  <c r="AG16" i="7"/>
  <c r="P31" i="3" s="1"/>
  <c r="AG17" i="7"/>
  <c r="P32" i="3" s="1"/>
  <c r="AG15" i="7"/>
  <c r="P30" i="3" s="1"/>
  <c r="AG18" i="7"/>
  <c r="P29" i="3"/>
  <c r="K6" i="1" s="1"/>
  <c r="K7" i="1" l="1"/>
  <c r="L7" i="1" s="1"/>
  <c r="C21" i="3"/>
  <c r="B19" i="3" s="1"/>
  <c r="J8" i="1"/>
  <c r="J6" i="1"/>
  <c r="L6" i="1" s="1"/>
  <c r="K11" i="1"/>
  <c r="L11" i="1" s="1"/>
  <c r="K14" i="1"/>
  <c r="L14" i="1" s="1"/>
  <c r="K12" i="1"/>
  <c r="L12" i="1" s="1"/>
  <c r="K9" i="1"/>
  <c r="L9" i="1" s="1"/>
  <c r="K10" i="1"/>
  <c r="L10" i="1" s="1"/>
  <c r="K15" i="1"/>
  <c r="L15" i="1" s="1"/>
  <c r="K13" i="1"/>
  <c r="L13" i="1" s="1"/>
  <c r="K16" i="1"/>
  <c r="L16" i="1" s="1"/>
  <c r="K8" i="1"/>
  <c r="H11" i="1"/>
  <c r="H8" i="1"/>
  <c r="H16" i="1"/>
  <c r="H13" i="1"/>
  <c r="H14" i="1"/>
  <c r="H10" i="1"/>
  <c r="Q29" i="3"/>
  <c r="Q33" i="3"/>
  <c r="Q31" i="3"/>
  <c r="Q30" i="3"/>
  <c r="Q32" i="3"/>
  <c r="Q37" i="3"/>
  <c r="Q38" i="3"/>
  <c r="Q39" i="3"/>
  <c r="H15" i="1"/>
  <c r="H12" i="1"/>
  <c r="H9" i="1"/>
  <c r="L8" i="1" l="1"/>
  <c r="Q31" i="1"/>
  <c r="D9" i="1" l="1"/>
  <c r="M9" i="1" s="1"/>
  <c r="D10" i="1"/>
  <c r="M10" i="1" s="1"/>
  <c r="E7" i="9"/>
  <c r="F7" i="9" s="1"/>
  <c r="D6" i="1" s="1"/>
  <c r="M6" i="1" s="1"/>
  <c r="D11" i="1"/>
  <c r="M11" i="1" s="1"/>
  <c r="D7" i="1"/>
  <c r="M7" i="1" s="1"/>
  <c r="D8" i="1"/>
  <c r="M8" i="1" l="1"/>
  <c r="N8" i="1" s="1"/>
  <c r="O7" i="1"/>
  <c r="O10" i="1"/>
  <c r="O9" i="1"/>
  <c r="O13" i="1"/>
  <c r="O14" i="1"/>
  <c r="O12" i="1"/>
  <c r="O15" i="1"/>
  <c r="O16" i="1"/>
  <c r="N10" i="1" l="1"/>
  <c r="N9" i="1"/>
  <c r="N11" i="1"/>
  <c r="N7" i="1"/>
  <c r="N6" i="1"/>
  <c r="A30" i="1" s="1"/>
  <c r="O11" i="1"/>
  <c r="O6" i="1"/>
  <c r="O8" i="1"/>
  <c r="J30" i="1" l="1"/>
  <c r="I30" i="1"/>
  <c r="H30" i="1"/>
  <c r="G30" i="1"/>
  <c r="K30" i="1"/>
  <c r="A27" i="1"/>
  <c r="A29" i="1"/>
  <c r="A28" i="1"/>
  <c r="A26" i="1"/>
  <c r="A25" i="1"/>
  <c r="G29" i="1" l="1"/>
  <c r="H29" i="1"/>
  <c r="M25" i="1"/>
  <c r="L25" i="1"/>
  <c r="K25" i="1"/>
  <c r="J25" i="1"/>
  <c r="I25" i="1"/>
  <c r="I26" i="1"/>
  <c r="M26" i="1"/>
  <c r="L26" i="1"/>
  <c r="K26" i="1"/>
  <c r="J26" i="1"/>
  <c r="M28" i="1"/>
  <c r="K28" i="1"/>
  <c r="J28" i="1"/>
  <c r="I28" i="1"/>
  <c r="L28" i="1"/>
  <c r="L30" i="1"/>
  <c r="M30" i="1"/>
  <c r="I29" i="1"/>
  <c r="L29" i="1"/>
  <c r="J29" i="1"/>
  <c r="M29" i="1"/>
  <c r="K29" i="1"/>
  <c r="J27" i="1"/>
  <c r="I27" i="1"/>
  <c r="M27" i="1"/>
  <c r="L27" i="1"/>
  <c r="K27" i="1"/>
  <c r="G26" i="1"/>
  <c r="F26" i="1"/>
  <c r="E26" i="1"/>
  <c r="H26" i="1"/>
  <c r="G28" i="1"/>
  <c r="F28" i="1"/>
  <c r="H28" i="1"/>
  <c r="E28" i="1"/>
  <c r="E30" i="1"/>
  <c r="F30" i="1"/>
  <c r="E25" i="1"/>
  <c r="H25" i="1"/>
  <c r="G25" i="1"/>
  <c r="F25" i="1"/>
  <c r="F29" i="1"/>
  <c r="E29" i="1"/>
  <c r="G27" i="1"/>
  <c r="F27" i="1"/>
  <c r="H27" i="1"/>
  <c r="E27" i="1"/>
  <c r="B26" i="1"/>
  <c r="C26" i="1"/>
  <c r="D26" i="1"/>
  <c r="C28" i="1"/>
  <c r="B28" i="1"/>
  <c r="D28" i="1"/>
  <c r="B30" i="1"/>
  <c r="C30" i="1"/>
  <c r="D30" i="1"/>
  <c r="B29" i="1"/>
  <c r="C29" i="1"/>
  <c r="D29" i="1"/>
  <c r="D27" i="1"/>
  <c r="C27" i="1"/>
  <c r="B27" i="1"/>
  <c r="D25" i="1"/>
  <c r="C25" i="1"/>
  <c r="B25" i="1"/>
  <c r="Q25" i="1" l="1"/>
  <c r="Q27" i="1"/>
  <c r="Q29" i="1"/>
  <c r="Q30" i="1"/>
  <c r="Q28" i="1"/>
  <c r="Q26" i="1"/>
</calcChain>
</file>

<file path=xl/sharedStrings.xml><?xml version="1.0" encoding="utf-8"?>
<sst xmlns="http://schemas.openxmlformats.org/spreadsheetml/2006/main" count="359" uniqueCount="249">
  <si>
    <t>XC OPTIMUM TIME:</t>
  </si>
  <si>
    <t>SPEED FAULT TIME:</t>
  </si>
  <si>
    <t>Stadium</t>
  </si>
  <si>
    <t>XC</t>
  </si>
  <si>
    <t>COMBINED</t>
  </si>
  <si>
    <t>RIDER</t>
  </si>
  <si>
    <t>HORSE</t>
  </si>
  <si>
    <t>TIME</t>
  </si>
  <si>
    <t>SCORE</t>
  </si>
  <si>
    <t>PLACE</t>
  </si>
  <si>
    <t>ELAPSED</t>
  </si>
  <si>
    <t>E</t>
  </si>
  <si>
    <t>Optimum Time:</t>
  </si>
  <si>
    <t>Min</t>
  </si>
  <si>
    <t>Sec</t>
  </si>
  <si>
    <t>Over/(Under)</t>
  </si>
  <si>
    <t>Total Seconds</t>
  </si>
  <si>
    <t>TOTAL</t>
  </si>
  <si>
    <t>TOTAL (Sec)</t>
  </si>
  <si>
    <t>Rails</t>
  </si>
  <si>
    <t>Refusals</t>
  </si>
  <si>
    <t>Rail Pen.</t>
  </si>
  <si>
    <t>Ref. Pen.</t>
  </si>
  <si>
    <t>Fall. Pen</t>
  </si>
  <si>
    <t>TOTAL (Min/Sec)</t>
  </si>
  <si>
    <t xml:space="preserve">Time Penalty Rate </t>
  </si>
  <si>
    <t>penalties per second</t>
  </si>
  <si>
    <t>Rail Penalty</t>
  </si>
  <si>
    <t>penalties per rail</t>
  </si>
  <si>
    <t>1st stop</t>
  </si>
  <si>
    <t>2nd stop</t>
  </si>
  <si>
    <t>Judged</t>
  </si>
  <si>
    <t>Unjudged</t>
  </si>
  <si>
    <t>Judging Options (DO NOT DELETE)</t>
  </si>
  <si>
    <t>Order of Go:</t>
  </si>
  <si>
    <t>COMPETITOR</t>
  </si>
  <si>
    <t>NUMBER</t>
  </si>
  <si>
    <t>SCORING</t>
  </si>
  <si>
    <t>1 Stop @ 20pp</t>
  </si>
  <si>
    <t>2 Stops: 1@20+1@40</t>
  </si>
  <si>
    <t>3rd Stop=Elim.</t>
  </si>
  <si>
    <t>PENALTY POINTS</t>
  </si>
  <si>
    <t>Total Penalty Points</t>
  </si>
  <si>
    <t>XC JUMPING EFFORTS</t>
  </si>
  <si>
    <t>Penalty Points</t>
  </si>
  <si>
    <t>= Clear on first attempt, no refusal</t>
  </si>
  <si>
    <t>= One stop first attempt, cleared at second attempt</t>
  </si>
  <si>
    <t>XC Optimum Time:</t>
  </si>
  <si>
    <t>Over/ (Under)</t>
  </si>
  <si>
    <t>Excessive Speed Penalties</t>
  </si>
  <si>
    <t>Fall (Yes=1)</t>
  </si>
  <si>
    <t>penalties per second over Optimum</t>
  </si>
  <si>
    <t># of Occurences with 1 Stop @ Fence</t>
  </si>
  <si>
    <t># of Occurences with 3+ Stops @ Fence</t>
  </si>
  <si>
    <t>HIDE</t>
  </si>
  <si>
    <t>THIS</t>
  </si>
  <si>
    <t>COLUMN</t>
  </si>
  <si>
    <t>TIME PP</t>
  </si>
  <si>
    <t>Entry #</t>
  </si>
  <si>
    <t>Check</t>
  </si>
  <si>
    <t>PRINTABLE VERSION:</t>
  </si>
  <si>
    <t>Jumping Penalties</t>
  </si>
  <si>
    <t>JUMP PP</t>
  </si>
  <si>
    <t>FINAL PLACINGS</t>
  </si>
  <si>
    <t>STADIUM</t>
  </si>
  <si>
    <t>CROSS-COUNTRY</t>
  </si>
  <si>
    <t>Exceeding Optimum:</t>
  </si>
  <si>
    <t>Time Penalty Rates</t>
  </si>
  <si>
    <t>Penalty 1st Refusal</t>
  </si>
  <si>
    <t>Penalty 2nd Refusal</t>
  </si>
  <si>
    <t>ARTICLE D317 JUMPING SCORING</t>
  </si>
  <si>
    <t>Max time allowed on course is double Optimum (exceeding = E)</t>
  </si>
  <si>
    <t>Prelim up=1/sec</t>
  </si>
  <si>
    <t>ARTICLE D311 CROSS-COUNTRY SCORING</t>
  </si>
  <si>
    <t>= When at the SAME FENCE: One stop first attempt, Second stop at second attempt, Cleared third attempt</t>
  </si>
  <si>
    <t>= Three consecutive stops, Eliminated OR a TOTAL of 3 stops on course at differing fences</t>
  </si>
  <si>
    <t># of Refusals/Run-Outs</t>
  </si>
  <si>
    <t>Description</t>
  </si>
  <si>
    <t>penalty per second (Training + Under)</t>
  </si>
  <si>
    <t>ARTICLE D302 SECTION 2.2 (see snip)</t>
  </si>
  <si>
    <t>Tie Breaking: Closest to XC Optimum</t>
  </si>
  <si>
    <t>Test:</t>
  </si>
  <si>
    <t>DRESSAGE</t>
  </si>
  <si>
    <t>Dressage</t>
  </si>
  <si>
    <t>Score PP</t>
  </si>
  <si>
    <t>Manitoba Horse Trials</t>
  </si>
  <si>
    <t>Time Limit:</t>
  </si>
  <si>
    <t>ARTICLE D311 CROSS-COUNTRY SCORING: 2.4.2 "On Phase D the time limit is twice the optimum time"</t>
  </si>
  <si>
    <t>EXCEEDING THE TIME LIMIT = ELIMINATION</t>
  </si>
  <si>
    <t>Excessive Speed:</t>
  </si>
  <si>
    <t>Start Time</t>
  </si>
  <si>
    <t>End Time</t>
  </si>
  <si>
    <t>Time</t>
  </si>
  <si>
    <t>Total Points</t>
  </si>
  <si>
    <t>R</t>
  </si>
  <si>
    <t>#</t>
  </si>
  <si>
    <t>Horse</t>
  </si>
  <si>
    <t>Rider</t>
  </si>
  <si>
    <r>
      <t xml:space="preserve">Depending on what phases you will run at the event/derby/schooling show will depend on which tabs must be filled out below. Regardless of the phases, all score sheets use the </t>
    </r>
    <r>
      <rPr>
        <i/>
        <sz val="11"/>
        <color theme="1"/>
        <rFont val="Calibri"/>
        <family val="2"/>
        <scheme val="minor"/>
      </rPr>
      <t xml:space="preserve">Order of Go &amp; Master Sheet </t>
    </r>
    <r>
      <rPr>
        <sz val="11"/>
        <color theme="1"/>
        <rFont val="Calibri"/>
        <family val="2"/>
        <scheme val="minor"/>
      </rPr>
      <t xml:space="preserve">and the </t>
    </r>
    <r>
      <rPr>
        <i/>
        <sz val="11"/>
        <color theme="1"/>
        <rFont val="Calibri"/>
        <family val="2"/>
        <scheme val="minor"/>
      </rPr>
      <t>Master Score Sheet</t>
    </r>
    <r>
      <rPr>
        <sz val="11"/>
        <color theme="1"/>
        <rFont val="Calibri"/>
        <family val="2"/>
        <scheme val="minor"/>
      </rPr>
      <t xml:space="preserve"> tabs</t>
    </r>
  </si>
  <si>
    <t>Max Total Marks:</t>
  </si>
  <si>
    <t>How we score</t>
  </si>
  <si>
    <t>Events - all three phases, only one round per horse/rider combination</t>
  </si>
  <si>
    <t>Derbies/Schooling Shows</t>
  </si>
  <si>
    <t xml:space="preserve">In order to "place" a horse/rider combination must complete at least one of each phase offered. </t>
  </si>
  <si>
    <t>Only the first attempt at each phase is considered for placing</t>
  </si>
  <si>
    <t>For example, if a rider completes 2 dressage tests, only the first-ridden test is included towards the combined score (regardless of the score compared to the second)</t>
  </si>
  <si>
    <t>For example, if a rider completes 2 cross country rounds, only the first-ridden round is included towards the combined score (regardless if the horse/rider was Eliminated or Retired; or if they were more successful the second round)</t>
  </si>
  <si>
    <t>Pace classes</t>
  </si>
  <si>
    <r>
      <t xml:space="preserve">Pace classes are offered to riders to test their pace accuracy. </t>
    </r>
    <r>
      <rPr>
        <b/>
        <sz val="11"/>
        <color theme="1"/>
        <rFont val="Calibri"/>
        <family val="2"/>
        <scheme val="minor"/>
      </rPr>
      <t>We post these times so that riders can assess their accuracy</t>
    </r>
  </si>
  <si>
    <t>Any subsequent rounds are still recorded and scored, just not considered for the combined scores</t>
  </si>
  <si>
    <t>For example, if a rider completes 2 dressage tests, the second test will be judged by the judge, scored, and posted - just not considered towards the combined scores. A show committee may choose to score dressage individually and will be up to the committee to determine additional single-phase placings.</t>
  </si>
  <si>
    <t>For example, if a rider completes 2 cross country rounds, the first-ridden round is included towards the combined score but the second score will be timed and jumping penalties calculated; however the scores will be included in the "unjudged" portion below for rider reflection.</t>
  </si>
  <si>
    <t>Add test details: Test number (cell B2) and total maximum points (B3)</t>
  </si>
  <si>
    <t>Total max points can be found at the top of the dressage test and is the maximum allowable points a rider can score in the dressage test</t>
  </si>
  <si>
    <t>ONLY CHANGE INFORMATION IN HIGHLIGHTED CELLS!! Changing any other cells may overwrite other formulas and break the automation of this spreadsheet</t>
  </si>
  <si>
    <t>Steps to fill out this sheet:</t>
  </si>
  <si>
    <r>
      <t xml:space="preserve">2. Enter the rider numbers in column A. Remember if you have a single digit number, add an apostrophe and zero in front of it. Ex Rider #4 would be entered here as </t>
    </r>
    <r>
      <rPr>
        <b/>
        <sz val="11"/>
        <color theme="1"/>
        <rFont val="Calibri"/>
        <family val="2"/>
        <scheme val="minor"/>
      </rPr>
      <t>'04</t>
    </r>
  </si>
  <si>
    <t>Score (%)</t>
  </si>
  <si>
    <t>(if less than 10, enter as '0X)</t>
  </si>
  <si>
    <t>Distance of XC Course</t>
  </si>
  <si>
    <t>Time (%)</t>
  </si>
  <si>
    <t>Mins</t>
  </si>
  <si>
    <t>Secs</t>
  </si>
  <si>
    <t>mpm</t>
  </si>
  <si>
    <t>m</t>
  </si>
  <si>
    <t>Excessive Speed Time</t>
  </si>
  <si>
    <t>Elapsed Time</t>
  </si>
  <si>
    <t>Over Opt. Penalties</t>
  </si>
  <si>
    <t>= Fall of horse or rider</t>
  </si>
  <si>
    <t>= Retired from course</t>
  </si>
  <si>
    <t>Fall</t>
  </si>
  <si>
    <t>Fall of Horse or Rider</t>
  </si>
  <si>
    <t>Voluntary Retirement</t>
  </si>
  <si>
    <t>Fall or Retired</t>
  </si>
  <si>
    <t>Cross Country: Jumping Score Card</t>
  </si>
  <si>
    <t>Cross Country: Time Penalty Calculations</t>
  </si>
  <si>
    <t>Scoring Legend (Expand for breakdown)</t>
  </si>
  <si>
    <t>Total</t>
  </si>
  <si>
    <t>Seconds</t>
  </si>
  <si>
    <t>Penalties</t>
  </si>
  <si>
    <t>Jump</t>
  </si>
  <si>
    <t>Time Penalties</t>
  </si>
  <si>
    <t>STADIUM OPTIMUM TIME:</t>
  </si>
  <si>
    <t>Add placings for anyone who finished</t>
  </si>
  <si>
    <t>Coeff</t>
  </si>
  <si>
    <t>Movement #</t>
  </si>
  <si>
    <t>TOTAL POINTS</t>
  </si>
  <si>
    <t>Total Score</t>
  </si>
  <si>
    <t>Mark Given</t>
  </si>
  <si>
    <t>ERROR</t>
  </si>
  <si>
    <t>TOTAL Seconds</t>
  </si>
  <si>
    <t>Excessive Speed Calc</t>
  </si>
  <si>
    <t>1. Look at OOG, you want to replicate that in this sheet</t>
  </si>
  <si>
    <t>3. Enter marks accordingly in the Rider's boxes between Linds 21+</t>
  </si>
  <si>
    <t>Scores will tally in the "Total Score" column based off of coefficients in column B</t>
  </si>
  <si>
    <t>Put the actual scores in the light green boxes titled "Mark Given"</t>
  </si>
  <si>
    <t>All scores will tally at the bottom (scroll down)</t>
  </si>
  <si>
    <t>4. If an error/penalizations are given, add as a negative in Line 51</t>
  </si>
  <si>
    <t>5. Determine that scores are tying properly</t>
  </si>
  <si>
    <t>Look at Line 52 and see that the sums are pulling correctly in the summary in D7-19</t>
  </si>
  <si>
    <t>6. This information will tie to the Master Score sheet automatically</t>
  </si>
  <si>
    <t>DO NOT MANUALLY CHANGE ANYTHING OUTSIDE OF THE HIGHLIGHTED GREEN BOXES OR IT WILL BREAK THE SPREADSHEET</t>
  </si>
  <si>
    <t>Excessive Speed Pace</t>
  </si>
  <si>
    <t>OPTIMUM TIME:</t>
  </si>
  <si>
    <t>Division</t>
  </si>
  <si>
    <t>Show Name</t>
  </si>
  <si>
    <t>Show Date(s)</t>
  </si>
  <si>
    <t>XC Distance</t>
  </si>
  <si>
    <t>XC Pace</t>
  </si>
  <si>
    <t>XC Speed Fault Pace</t>
  </si>
  <si>
    <t>Distance</t>
  </si>
  <si>
    <t>Pace</t>
  </si>
  <si>
    <t>Tie Breaker determined based on closest to optimum time</t>
  </si>
  <si>
    <t>If you cannot find this tab, unhide the tab by right-clicking on the tabs at the bottom, select unhide, then select your desired tab</t>
  </si>
  <si>
    <t>For example, if Sally is #4 enter her number in this tab as apostrophe-zero-four or '04</t>
  </si>
  <si>
    <t>Dressage Setup</t>
  </si>
  <si>
    <t>Add the movements and their coefficients in A23:B23 down INCLUDING the four post-test scores</t>
  </si>
  <si>
    <t>Scoring the Phases</t>
  </si>
  <si>
    <r>
      <t xml:space="preserve">Add all of the scores from the tests in the highlighted green areas in the </t>
    </r>
    <r>
      <rPr>
        <i/>
        <sz val="11"/>
        <color theme="1"/>
        <rFont val="Calibri"/>
        <family val="2"/>
        <scheme val="minor"/>
      </rPr>
      <t>Mark Given</t>
    </r>
    <r>
      <rPr>
        <sz val="11"/>
        <color theme="1"/>
        <rFont val="Calibri"/>
        <family val="2"/>
        <scheme val="minor"/>
      </rPr>
      <t xml:space="preserve"> area</t>
    </r>
  </si>
  <si>
    <t>The total score will populate and automatically be added to the rider summary at top of page (in Column D it should equal the total points, then in Col E will be percentage).</t>
  </si>
  <si>
    <t>The Total Penalty points should Calculate in Col F, which is tied to the master score sheet tab</t>
  </si>
  <si>
    <t>Cross-Country Setup</t>
  </si>
  <si>
    <t>Cross-Country</t>
  </si>
  <si>
    <t>All jumps need their own column (if there are a/b combinations, they need to have their own colunn…so 4ab would be 4a and 4b in two separate coluns)</t>
  </si>
  <si>
    <t>If the jumping effort is:</t>
  </si>
  <si>
    <t>CLEAR on 1st try</t>
  </si>
  <si>
    <t xml:space="preserve">= 0 </t>
  </si>
  <si>
    <t>1 refusal</t>
  </si>
  <si>
    <t>2 refusals</t>
  </si>
  <si>
    <t>3+ refusals</t>
  </si>
  <si>
    <t>(this will automatically calculate as an Elimination)</t>
  </si>
  <si>
    <t>Note: it is beneficial to add any important notes to the spreadsheet for any weird situations for reference later if riders ask questions. For example, if it was a weird fall or a refusal that may be disputed, it's beneficial to not what exactly happened and who witnessed it.</t>
  </si>
  <si>
    <t>XC Jumps</t>
  </si>
  <si>
    <t>How to use this Scoring spreadsheet:</t>
  </si>
  <si>
    <t>Spreadsheet Setup</t>
  </si>
  <si>
    <t>This tab drives a majority of the spreadsheet, so filling this in correctly is very important</t>
  </si>
  <si>
    <t xml:space="preserve">NOTE: If a rider's number is under ten (only one digit), you must enter it as two digits by entering a preceeding zero. </t>
  </si>
  <si>
    <t xml:space="preserve"> Add numbers in order of go in the highlighted blue area</t>
  </si>
  <si>
    <t>Find XC Jump tab</t>
  </si>
  <si>
    <t>All rider info will pull automatically (sourced from the OOG &amp; Master spreadsheet)</t>
  </si>
  <si>
    <r>
      <t xml:space="preserve">In XC Jump tab, Add the number of jumps in the XC course in </t>
    </r>
    <r>
      <rPr>
        <i/>
        <sz val="11"/>
        <color theme="1"/>
        <rFont val="Calibri"/>
        <family val="2"/>
        <scheme val="minor"/>
      </rPr>
      <t xml:space="preserve">XC Jumping Efforts </t>
    </r>
    <r>
      <rPr>
        <sz val="11"/>
        <color theme="1"/>
        <rFont val="Calibri"/>
        <family val="2"/>
        <scheme val="minor"/>
      </rPr>
      <t>section</t>
    </r>
  </si>
  <si>
    <t>DO NOT CHANGE anything else in this tab</t>
  </si>
  <si>
    <t>Find XC Time tab</t>
  </si>
  <si>
    <t xml:space="preserve"> in the Order of Go &amp; Master Sheet tab Enter in the orange area:</t>
  </si>
  <si>
    <t>General Setup</t>
  </si>
  <si>
    <r>
      <t xml:space="preserve">Enter all horse/rider combinations in the </t>
    </r>
    <r>
      <rPr>
        <i/>
        <sz val="11"/>
        <color theme="1"/>
        <rFont val="Calibri"/>
        <family val="2"/>
        <scheme val="minor"/>
      </rPr>
      <t xml:space="preserve">Order of Go &amp; Master Sheet </t>
    </r>
    <r>
      <rPr>
        <sz val="11"/>
        <color theme="1"/>
        <rFont val="Calibri"/>
        <family val="2"/>
        <scheme val="minor"/>
      </rPr>
      <t xml:space="preserve">tab in columnds A-C. </t>
    </r>
  </si>
  <si>
    <r>
      <t xml:space="preserve">Add all </t>
    </r>
    <r>
      <rPr>
        <b/>
        <sz val="11"/>
        <color theme="1"/>
        <rFont val="Calibri"/>
        <family val="2"/>
        <scheme val="minor"/>
      </rPr>
      <t>numbers</t>
    </r>
    <r>
      <rPr>
        <sz val="11"/>
        <color theme="1"/>
        <rFont val="Calibri"/>
        <family val="2"/>
        <scheme val="minor"/>
      </rPr>
      <t xml:space="preserve"> of riders in the highlighted area (A14:A24) in the </t>
    </r>
    <r>
      <rPr>
        <i/>
        <sz val="11"/>
        <color theme="1"/>
        <rFont val="Calibri"/>
        <family val="2"/>
        <scheme val="minor"/>
      </rPr>
      <t xml:space="preserve">XC Jump </t>
    </r>
    <r>
      <rPr>
        <sz val="11"/>
        <color theme="1"/>
        <rFont val="Calibri"/>
        <family val="2"/>
        <scheme val="minor"/>
      </rPr>
      <t>tab (the rider info will auto-fill)</t>
    </r>
  </si>
  <si>
    <t>Confirm that all times calculated correctly</t>
  </si>
  <si>
    <t>Noting should need to be added for setup in this tab</t>
  </si>
  <si>
    <t>If timing using a running clock</t>
  </si>
  <si>
    <t>Enter the rider's time in Columns D and E</t>
  </si>
  <si>
    <t>This info should calculate automatically into a course time in Column F</t>
  </si>
  <si>
    <t>If using a timer per rider (aka only one horse on course at once with same start/finish points so one set of timers can be used)</t>
  </si>
  <si>
    <t>Manually add rider's time into Columns G (minutes) and H (secondS)</t>
  </si>
  <si>
    <t>Regardless of the timing method, you should not have to calculate any time penalties - they should auto-calculate</t>
  </si>
  <si>
    <t>Statium</t>
  </si>
  <si>
    <t>Add rider numbers in order of go in the light blue area (cell A19 down)</t>
  </si>
  <si>
    <t>Add optimum time in minutes (cell B4) and seconds (cell B5)</t>
  </si>
  <si>
    <t>Find Stadium tab</t>
  </si>
  <si>
    <t>In the XC Time tab</t>
  </si>
  <si>
    <r>
      <t xml:space="preserve">In the XC Jump tab, Once XC scores are received, add all information pertaining to jumps (ie clear or refusal) to the </t>
    </r>
    <r>
      <rPr>
        <i/>
        <sz val="11"/>
        <color theme="1"/>
        <rFont val="Calibri"/>
        <family val="2"/>
        <scheme val="minor"/>
      </rPr>
      <t xml:space="preserve">XC Jump </t>
    </r>
    <r>
      <rPr>
        <sz val="11"/>
        <color theme="1"/>
        <rFont val="Calibri"/>
        <family val="2"/>
        <scheme val="minor"/>
      </rPr>
      <t>tab</t>
    </r>
  </si>
  <si>
    <t>Go to Stadium</t>
  </si>
  <si>
    <t>Enter time per rider in Minutes and seconds in the blue areas of Col D and E</t>
  </si>
  <si>
    <t>Enter Rails in the blue area of Col K</t>
  </si>
  <si>
    <t>Enter the Refusals in the blue area of Col M</t>
  </si>
  <si>
    <t>Enter the number 1 in the blue area of Col O</t>
  </si>
  <si>
    <r>
      <t xml:space="preserve">In the </t>
    </r>
    <r>
      <rPr>
        <i/>
        <sz val="11"/>
        <color theme="1"/>
        <rFont val="Calibri"/>
        <family val="2"/>
        <scheme val="minor"/>
      </rPr>
      <t>Master Score Sheet</t>
    </r>
  </si>
  <si>
    <t>Enter the rider numbers in the blue area starting in A6 down</t>
  </si>
  <si>
    <t>The top section is a summary of the scores based off their number, the bottom section puts everyone in order based off of placings</t>
  </si>
  <si>
    <t>General</t>
  </si>
  <si>
    <t>Once the competition is complete, confirm that all numbers pulled correctly from each individual scoring tab into the Master Score sheet</t>
  </si>
  <si>
    <t>For example, if there are 7 riders, add lines and pull down the formulas so that placings go from 1-7</t>
  </si>
  <si>
    <t>In the lower Printable Version of the placings, ensure that there are enough lines and placings for the number of riders you have - you must manually add the placing numbers (there are no formulas for this)</t>
  </si>
  <si>
    <t>Rider infor (names/horse) should automatically pull from the other tabs into this sheet.</t>
  </si>
  <si>
    <t>If someone is retired/eliminated, you can manually add that information if you want or remove them from the spreadsheet</t>
  </si>
  <si>
    <t>Add stadium times in that spreadsheet</t>
  </si>
  <si>
    <t>Lavender Woodman</t>
  </si>
  <si>
    <t>Watson's Cydney</t>
  </si>
  <si>
    <t>Faith Stuart</t>
  </si>
  <si>
    <t>Celine Branconnier</t>
  </si>
  <si>
    <t>Fix It Felix</t>
  </si>
  <si>
    <t>Whiley Coyote</t>
  </si>
  <si>
    <t>Pre-Entry (.75m)</t>
  </si>
  <si>
    <t>Spring Derby</t>
  </si>
  <si>
    <t>May 14 2023</t>
  </si>
  <si>
    <t>Penalty 3rd Refusal</t>
  </si>
  <si>
    <t>EV 85 Test 1</t>
  </si>
  <si>
    <t>Aleesha Gillette</t>
  </si>
  <si>
    <t>Dark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</si>
</sst>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m]:ss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0.0"/>
    <numFmt numFmtId="169" formatCode="0.0%"/>
    <numFmt numFmtId="170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166" fontId="0" fillId="0" borderId="0" xfId="1" applyNumberFormat="1" applyFont="1" applyFill="1"/>
    <xf numFmtId="165" fontId="0" fillId="0" borderId="0" xfId="1" applyNumberFormat="1" applyFont="1"/>
    <xf numFmtId="166" fontId="0" fillId="0" borderId="0" xfId="1" applyNumberFormat="1" applyFont="1"/>
    <xf numFmtId="166" fontId="0" fillId="2" borderId="0" xfId="1" applyNumberFormat="1" applyFont="1" applyFill="1"/>
    <xf numFmtId="166" fontId="0" fillId="0" borderId="1" xfId="1" applyNumberFormat="1" applyFont="1" applyFill="1" applyBorder="1"/>
    <xf numFmtId="166" fontId="0" fillId="0" borderId="0" xfId="1" applyNumberFormat="1" applyFont="1" applyFill="1" applyBorder="1"/>
    <xf numFmtId="164" fontId="0" fillId="0" borderId="0" xfId="0" applyNumberFormat="1"/>
    <xf numFmtId="0" fontId="0" fillId="2" borderId="0" xfId="0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0" fillId="4" borderId="0" xfId="0" applyFill="1"/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166" fontId="0" fillId="0" borderId="2" xfId="1" applyNumberFormat="1" applyFont="1" applyBorder="1"/>
    <xf numFmtId="0" fontId="0" fillId="0" borderId="2" xfId="0" applyBorder="1"/>
    <xf numFmtId="0" fontId="3" fillId="0" borderId="3" xfId="0" applyFont="1" applyBorder="1"/>
    <xf numFmtId="0" fontId="0" fillId="0" borderId="0" xfId="0" quotePrefix="1"/>
    <xf numFmtId="166" fontId="11" fillId="2" borderId="2" xfId="1" applyNumberFormat="1" applyFont="1" applyFill="1" applyBorder="1" applyAlignment="1">
      <alignment horizontal="center"/>
    </xf>
    <xf numFmtId="166" fontId="0" fillId="0" borderId="5" xfId="0" applyNumberFormat="1" applyBorder="1"/>
    <xf numFmtId="166" fontId="0" fillId="0" borderId="5" xfId="0" applyNumberForma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0" fillId="0" borderId="0" xfId="1" applyNumberFormat="1" applyFont="1" applyBorder="1"/>
    <xf numFmtId="0" fontId="10" fillId="2" borderId="0" xfId="0" applyFont="1" applyFill="1" applyAlignment="1">
      <alignment horizontal="center"/>
    </xf>
    <xf numFmtId="166" fontId="0" fillId="0" borderId="16" xfId="1" applyNumberFormat="1" applyFont="1" applyBorder="1"/>
    <xf numFmtId="166" fontId="0" fillId="0" borderId="0" xfId="1" applyNumberFormat="1" applyFont="1" applyBorder="1"/>
    <xf numFmtId="166" fontId="0" fillId="0" borderId="5" xfId="1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wrapText="1"/>
    </xf>
    <xf numFmtId="166" fontId="0" fillId="4" borderId="8" xfId="1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167" fontId="0" fillId="0" borderId="0" xfId="0" applyNumberFormat="1"/>
    <xf numFmtId="0" fontId="12" fillId="0" borderId="0" xfId="0" applyFont="1"/>
    <xf numFmtId="0" fontId="0" fillId="0" borderId="17" xfId="0" applyBorder="1"/>
    <xf numFmtId="165" fontId="0" fillId="0" borderId="17" xfId="1" applyNumberFormat="1" applyFont="1" applyBorder="1"/>
    <xf numFmtId="0" fontId="0" fillId="0" borderId="21" xfId="0" applyBorder="1"/>
    <xf numFmtId="0" fontId="0" fillId="0" borderId="11" xfId="0" applyBorder="1"/>
    <xf numFmtId="0" fontId="4" fillId="0" borderId="0" xfId="0" applyFont="1" applyAlignment="1">
      <alignment horizontal="right" vertical="top"/>
    </xf>
    <xf numFmtId="0" fontId="0" fillId="0" borderId="13" xfId="0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0" fillId="0" borderId="24" xfId="1" applyNumberFormat="1" applyFont="1" applyBorder="1"/>
    <xf numFmtId="0" fontId="0" fillId="0" borderId="12" xfId="0" applyBorder="1"/>
    <xf numFmtId="165" fontId="0" fillId="0" borderId="20" xfId="1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165" fontId="0" fillId="0" borderId="2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16" fillId="0" borderId="0" xfId="0" applyFont="1"/>
    <xf numFmtId="0" fontId="3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5" xfId="0" applyBorder="1"/>
    <xf numFmtId="168" fontId="0" fillId="2" borderId="0" xfId="0" applyNumberFormat="1" applyFill="1"/>
    <xf numFmtId="0" fontId="17" fillId="0" borderId="4" xfId="0" applyFont="1" applyBorder="1"/>
    <xf numFmtId="0" fontId="0" fillId="0" borderId="4" xfId="0" applyBorder="1" applyAlignment="1">
      <alignment horizontal="center"/>
    </xf>
    <xf numFmtId="0" fontId="18" fillId="0" borderId="0" xfId="0" applyFont="1"/>
    <xf numFmtId="0" fontId="3" fillId="2" borderId="23" xfId="0" applyFont="1" applyFill="1" applyBorder="1" applyAlignment="1">
      <alignment horizontal="center"/>
    </xf>
    <xf numFmtId="165" fontId="3" fillId="0" borderId="22" xfId="1" applyNumberFormat="1" applyFont="1" applyBorder="1" applyAlignment="1">
      <alignment horizontal="center"/>
    </xf>
    <xf numFmtId="43" fontId="0" fillId="0" borderId="0" xfId="0" applyNumberFormat="1"/>
    <xf numFmtId="0" fontId="10" fillId="5" borderId="0" xfId="0" quotePrefix="1" applyFont="1" applyFill="1" applyAlignment="1">
      <alignment horizontal="center"/>
    </xf>
    <xf numFmtId="0" fontId="10" fillId="2" borderId="0" xfId="0" quotePrefix="1" applyFont="1" applyFill="1" applyAlignment="1">
      <alignment horizontal="center"/>
    </xf>
    <xf numFmtId="0" fontId="20" fillId="0" borderId="10" xfId="0" applyFont="1" applyBorder="1"/>
    <xf numFmtId="0" fontId="18" fillId="0" borderId="12" xfId="0" applyFont="1" applyBorder="1"/>
    <xf numFmtId="170" fontId="0" fillId="0" borderId="0" xfId="0" applyNumberFormat="1"/>
    <xf numFmtId="166" fontId="0" fillId="0" borderId="0" xfId="1" quotePrefix="1" applyNumberFormat="1" applyFont="1" applyFill="1"/>
    <xf numFmtId="0" fontId="17" fillId="0" borderId="0" xfId="0" applyFont="1"/>
    <xf numFmtId="0" fontId="0" fillId="9" borderId="0" xfId="0" applyFill="1"/>
    <xf numFmtId="0" fontId="0" fillId="9" borderId="0" xfId="0" quotePrefix="1" applyFill="1"/>
    <xf numFmtId="169" fontId="0" fillId="0" borderId="0" xfId="2" applyNumberFormat="1" applyFont="1"/>
    <xf numFmtId="43" fontId="0" fillId="0" borderId="1" xfId="1" applyFont="1" applyFill="1" applyBorder="1"/>
    <xf numFmtId="0" fontId="0" fillId="0" borderId="0" xfId="0" applyAlignment="1">
      <alignment wrapText="1"/>
    </xf>
    <xf numFmtId="21" fontId="3" fillId="0" borderId="0" xfId="0" applyNumberFormat="1" applyFont="1"/>
    <xf numFmtId="21" fontId="0" fillId="10" borderId="0" xfId="0" applyNumberFormat="1" applyFill="1"/>
    <xf numFmtId="166" fontId="0" fillId="0" borderId="26" xfId="1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10" fillId="10" borderId="0" xfId="0" applyFont="1" applyFill="1" applyAlignment="1">
      <alignment horizontal="center"/>
    </xf>
    <xf numFmtId="166" fontId="10" fillId="0" borderId="8" xfId="1" applyNumberFormat="1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7" fontId="10" fillId="4" borderId="8" xfId="0" applyNumberFormat="1" applyFont="1" applyFill="1" applyBorder="1"/>
    <xf numFmtId="167" fontId="10" fillId="4" borderId="9" xfId="0" applyNumberFormat="1" applyFont="1" applyFill="1" applyBorder="1"/>
    <xf numFmtId="0" fontId="2" fillId="11" borderId="0" xfId="0" applyFont="1" applyFill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/>
    </xf>
    <xf numFmtId="166" fontId="10" fillId="0" borderId="9" xfId="1" applyNumberFormat="1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22" fillId="0" borderId="0" xfId="0" applyFont="1"/>
    <xf numFmtId="166" fontId="0" fillId="9" borderId="8" xfId="1" applyNumberFormat="1" applyFont="1" applyFill="1" applyBorder="1" applyAlignment="1">
      <alignment horizontal="center"/>
    </xf>
    <xf numFmtId="165" fontId="0" fillId="12" borderId="8" xfId="1" applyNumberFormat="1" applyFont="1" applyFill="1" applyBorder="1"/>
    <xf numFmtId="166" fontId="0" fillId="0" borderId="27" xfId="1" applyNumberFormat="1" applyFont="1" applyBorder="1"/>
    <xf numFmtId="166" fontId="0" fillId="0" borderId="28" xfId="1" applyNumberFormat="1" applyFont="1" applyBorder="1"/>
    <xf numFmtId="166" fontId="0" fillId="0" borderId="29" xfId="1" applyNumberFormat="1" applyFont="1" applyBorder="1"/>
    <xf numFmtId="166" fontId="0" fillId="0" borderId="30" xfId="1" applyNumberFormat="1" applyFont="1" applyBorder="1"/>
    <xf numFmtId="165" fontId="0" fillId="12" borderId="9" xfId="1" applyNumberFormat="1" applyFont="1" applyFill="1" applyBorder="1"/>
    <xf numFmtId="0" fontId="9" fillId="0" borderId="10" xfId="0" applyFont="1" applyBorder="1" applyAlignment="1">
      <alignment horizontal="center"/>
    </xf>
    <xf numFmtId="166" fontId="11" fillId="2" borderId="12" xfId="1" applyNumberFormat="1" applyFont="1" applyFill="1" applyBorder="1" applyAlignment="1">
      <alignment horizontal="center"/>
    </xf>
    <xf numFmtId="166" fontId="11" fillId="2" borderId="14" xfId="1" applyNumberFormat="1" applyFont="1" applyFill="1" applyBorder="1" applyAlignment="1">
      <alignment horizontal="center"/>
    </xf>
    <xf numFmtId="166" fontId="0" fillId="0" borderId="31" xfId="0" applyNumberFormat="1" applyBorder="1"/>
    <xf numFmtId="166" fontId="11" fillId="2" borderId="30" xfId="1" applyNumberFormat="1" applyFont="1" applyFill="1" applyBorder="1" applyAlignment="1">
      <alignment horizontal="center"/>
    </xf>
    <xf numFmtId="43" fontId="0" fillId="0" borderId="31" xfId="1" applyFont="1" applyBorder="1" applyAlignment="1">
      <alignment horizontal="center"/>
    </xf>
    <xf numFmtId="166" fontId="0" fillId="9" borderId="9" xfId="1" applyNumberFormat="1" applyFont="1" applyFill="1" applyBorder="1" applyAlignment="1">
      <alignment horizontal="center"/>
    </xf>
    <xf numFmtId="167" fontId="11" fillId="4" borderId="8" xfId="0" applyNumberFormat="1" applyFont="1" applyFill="1" applyBorder="1" applyAlignment="1">
      <alignment horizontal="center"/>
    </xf>
    <xf numFmtId="167" fontId="11" fillId="4" borderId="9" xfId="0" applyNumberFormat="1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wrapText="1"/>
    </xf>
    <xf numFmtId="166" fontId="0" fillId="0" borderId="7" xfId="1" applyNumberFormat="1" applyFont="1" applyBorder="1"/>
    <xf numFmtId="166" fontId="0" fillId="0" borderId="8" xfId="1" applyNumberFormat="1" applyFont="1" applyBorder="1"/>
    <xf numFmtId="166" fontId="0" fillId="0" borderId="9" xfId="1" applyNumberFormat="1" applyFont="1" applyBorder="1"/>
    <xf numFmtId="0" fontId="4" fillId="4" borderId="0" xfId="0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0" fontId="0" fillId="0" borderId="10" xfId="0" applyBorder="1"/>
    <xf numFmtId="0" fontId="4" fillId="9" borderId="3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165" fontId="1" fillId="9" borderId="12" xfId="1" applyNumberFormat="1" applyFont="1" applyFill="1" applyBorder="1" applyAlignment="1">
      <alignment horizontal="center"/>
    </xf>
    <xf numFmtId="165" fontId="1" fillId="9" borderId="14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6" fontId="0" fillId="0" borderId="3" xfId="1" applyNumberFormat="1" applyFont="1" applyBorder="1" applyAlignment="1">
      <alignment horizontal="right"/>
    </xf>
    <xf numFmtId="0" fontId="0" fillId="9" borderId="11" xfId="0" applyFill="1" applyBorder="1" applyAlignment="1">
      <alignment horizontal="center"/>
    </xf>
    <xf numFmtId="0" fontId="0" fillId="14" borderId="12" xfId="0" applyFill="1" applyBorder="1"/>
    <xf numFmtId="0" fontId="0" fillId="0" borderId="33" xfId="0" applyBorder="1"/>
    <xf numFmtId="0" fontId="10" fillId="10" borderId="0" xfId="0" quotePrefix="1" applyFont="1" applyFill="1" applyAlignment="1">
      <alignment horizontal="center"/>
    </xf>
    <xf numFmtId="166" fontId="0" fillId="0" borderId="0" xfId="0" applyNumberFormat="1"/>
    <xf numFmtId="165" fontId="0" fillId="15" borderId="0" xfId="1" applyNumberFormat="1" applyFont="1" applyFill="1"/>
    <xf numFmtId="0" fontId="11" fillId="2" borderId="0" xfId="0" quotePrefix="1" applyFont="1" applyFill="1" applyAlignment="1">
      <alignment horizontal="center"/>
    </xf>
    <xf numFmtId="0" fontId="9" fillId="0" borderId="21" xfId="0" applyFont="1" applyBorder="1" applyAlignment="1">
      <alignment horizontal="center"/>
    </xf>
    <xf numFmtId="0" fontId="23" fillId="8" borderId="11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3" fillId="8" borderId="15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3" fillId="13" borderId="15" xfId="0" applyFont="1" applyFill="1" applyBorder="1" applyAlignment="1">
      <alignment horizontal="center"/>
    </xf>
    <xf numFmtId="0" fontId="0" fillId="16" borderId="0" xfId="0" applyFill="1"/>
    <xf numFmtId="0" fontId="0" fillId="0" borderId="22" xfId="0" applyBorder="1" applyAlignment="1">
      <alignment horizontal="center"/>
    </xf>
    <xf numFmtId="0" fontId="24" fillId="0" borderId="0" xfId="0" applyFont="1"/>
    <xf numFmtId="165" fontId="3" fillId="0" borderId="17" xfId="1" applyNumberFormat="1" applyFont="1" applyBorder="1"/>
    <xf numFmtId="165" fontId="3" fillId="0" borderId="20" xfId="1" applyNumberFormat="1" applyFont="1" applyBorder="1"/>
    <xf numFmtId="0" fontId="6" fillId="0" borderId="0" xfId="0" applyFont="1" applyAlignment="1">
      <alignment horizontal="left"/>
    </xf>
    <xf numFmtId="165" fontId="0" fillId="0" borderId="17" xfId="1" applyNumberFormat="1" applyFont="1" applyBorder="1" applyAlignment="1">
      <alignment horizontal="center"/>
    </xf>
    <xf numFmtId="165" fontId="3" fillId="0" borderId="34" xfId="1" applyNumberFormat="1" applyFont="1" applyBorder="1"/>
    <xf numFmtId="165" fontId="3" fillId="0" borderId="35" xfId="1" applyNumberFormat="1" applyFont="1" applyBorder="1"/>
    <xf numFmtId="0" fontId="4" fillId="0" borderId="1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9" borderId="13" xfId="0" applyFont="1" applyFill="1" applyBorder="1" applyAlignment="1">
      <alignment horizontal="center"/>
    </xf>
    <xf numFmtId="165" fontId="1" fillId="9" borderId="13" xfId="1" applyNumberFormat="1" applyFont="1" applyFill="1" applyBorder="1" applyAlignment="1">
      <alignment horizontal="center"/>
    </xf>
    <xf numFmtId="165" fontId="1" fillId="9" borderId="15" xfId="1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165" fontId="0" fillId="9" borderId="13" xfId="1" applyNumberFormat="1" applyFont="1" applyFill="1" applyBorder="1" applyAlignment="1">
      <alignment horizontal="center"/>
    </xf>
    <xf numFmtId="165" fontId="0" fillId="9" borderId="15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0" fontId="13" fillId="0" borderId="12" xfId="0" applyFont="1" applyBorder="1" applyAlignment="1">
      <alignment horizontal="left" indent="1"/>
    </xf>
    <xf numFmtId="0" fontId="0" fillId="17" borderId="0" xfId="0" applyFill="1"/>
    <xf numFmtId="0" fontId="17" fillId="17" borderId="0" xfId="0" applyFont="1" applyFill="1"/>
    <xf numFmtId="16" fontId="0" fillId="17" borderId="0" xfId="0" quotePrefix="1" applyNumberFormat="1" applyFill="1"/>
    <xf numFmtId="0" fontId="0" fillId="0" borderId="0" xfId="0" applyAlignment="1">
      <alignment horizontal="right"/>
    </xf>
    <xf numFmtId="166" fontId="0" fillId="0" borderId="0" xfId="1" applyNumberFormat="1" applyFont="1" applyFill="1" applyAlignment="1">
      <alignment horizontal="right"/>
    </xf>
    <xf numFmtId="166" fontId="0" fillId="0" borderId="1" xfId="0" applyNumberFormat="1" applyBorder="1"/>
    <xf numFmtId="165" fontId="3" fillId="0" borderId="17" xfId="1" applyNumberFormat="1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0" fillId="5" borderId="0" xfId="0" applyFont="1" applyFill="1"/>
    <xf numFmtId="0" fontId="0" fillId="5" borderId="0" xfId="0" applyFill="1"/>
    <xf numFmtId="0" fontId="9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1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D2AA-88F9-48EE-8E0D-0D4DADA6946C}">
  <sheetPr>
    <tabColor rgb="FFFFFF00"/>
  </sheetPr>
  <dimension ref="A1:F126"/>
  <sheetViews>
    <sheetView workbookViewId="0">
      <selection activeCell="B85" sqref="B85"/>
    </sheetView>
  </sheetViews>
  <sheetFormatPr defaultRowHeight="14.4" x14ac:dyDescent="0.3"/>
  <cols>
    <col min="1" max="1" width="3" customWidth="1"/>
    <col min="2" max="2" width="6.44140625" customWidth="1"/>
    <col min="4" max="4" width="111.88671875" customWidth="1"/>
  </cols>
  <sheetData>
    <row r="1" spans="1:4" ht="28.8" x14ac:dyDescent="0.55000000000000004">
      <c r="A1" s="69" t="s">
        <v>193</v>
      </c>
    </row>
    <row r="2" spans="1:4" x14ac:dyDescent="0.3">
      <c r="A2" t="s">
        <v>98</v>
      </c>
    </row>
    <row r="4" spans="1:4" ht="21" x14ac:dyDescent="0.4">
      <c r="A4" s="203" t="s">
        <v>194</v>
      </c>
      <c r="B4" s="204"/>
      <c r="C4" s="204"/>
      <c r="D4" s="204"/>
    </row>
    <row r="5" spans="1:4" ht="21" x14ac:dyDescent="0.4">
      <c r="A5" s="202"/>
      <c r="B5" s="201" t="s">
        <v>204</v>
      </c>
    </row>
    <row r="6" spans="1:4" x14ac:dyDescent="0.3">
      <c r="A6">
        <v>1</v>
      </c>
      <c r="B6" t="s">
        <v>205</v>
      </c>
    </row>
    <row r="7" spans="1:4" x14ac:dyDescent="0.3">
      <c r="B7" s="3"/>
      <c r="C7" t="s">
        <v>195</v>
      </c>
    </row>
    <row r="8" spans="1:4" x14ac:dyDescent="0.3">
      <c r="C8" t="s">
        <v>173</v>
      </c>
    </row>
    <row r="9" spans="1:4" x14ac:dyDescent="0.3">
      <c r="C9" t="s">
        <v>196</v>
      </c>
    </row>
    <row r="10" spans="1:4" x14ac:dyDescent="0.3">
      <c r="D10" t="s">
        <v>174</v>
      </c>
    </row>
    <row r="11" spans="1:4" x14ac:dyDescent="0.3">
      <c r="A11">
        <v>2</v>
      </c>
      <c r="B11" t="s">
        <v>203</v>
      </c>
    </row>
    <row r="12" spans="1:4" x14ac:dyDescent="0.3"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167</v>
      </c>
    </row>
    <row r="16" spans="1:4" x14ac:dyDescent="0.3">
      <c r="C16" t="s">
        <v>168</v>
      </c>
    </row>
    <row r="17" spans="1:4" x14ac:dyDescent="0.3">
      <c r="C17" t="s">
        <v>169</v>
      </c>
    </row>
    <row r="19" spans="1:4" x14ac:dyDescent="0.3">
      <c r="A19">
        <v>3</v>
      </c>
      <c r="B19" t="s">
        <v>226</v>
      </c>
    </row>
    <row r="20" spans="1:4" x14ac:dyDescent="0.3">
      <c r="C20" t="s">
        <v>227</v>
      </c>
    </row>
    <row r="21" spans="1:4" x14ac:dyDescent="0.3">
      <c r="D21" t="s">
        <v>233</v>
      </c>
    </row>
    <row r="22" spans="1:4" x14ac:dyDescent="0.3">
      <c r="D22" t="s">
        <v>228</v>
      </c>
    </row>
    <row r="23" spans="1:4" x14ac:dyDescent="0.3">
      <c r="C23" t="s">
        <v>232</v>
      </c>
    </row>
    <row r="24" spans="1:4" x14ac:dyDescent="0.3">
      <c r="D24" t="s">
        <v>231</v>
      </c>
    </row>
    <row r="25" spans="1:4" x14ac:dyDescent="0.3">
      <c r="B25" s="201" t="s">
        <v>175</v>
      </c>
    </row>
    <row r="26" spans="1:4" x14ac:dyDescent="0.3">
      <c r="A26" s="200">
        <v>4</v>
      </c>
      <c r="B26" t="s">
        <v>206</v>
      </c>
    </row>
    <row r="27" spans="1:4" x14ac:dyDescent="0.3">
      <c r="B27" t="s">
        <v>112</v>
      </c>
    </row>
    <row r="28" spans="1:4" x14ac:dyDescent="0.3">
      <c r="C28" t="s">
        <v>113</v>
      </c>
    </row>
    <row r="29" spans="1:4" x14ac:dyDescent="0.3">
      <c r="B29" t="s">
        <v>176</v>
      </c>
    </row>
    <row r="31" spans="1:4" x14ac:dyDescent="0.3">
      <c r="B31" s="201" t="s">
        <v>181</v>
      </c>
    </row>
    <row r="32" spans="1:4" x14ac:dyDescent="0.3">
      <c r="A32">
        <v>5</v>
      </c>
      <c r="B32" t="s">
        <v>198</v>
      </c>
    </row>
    <row r="33" spans="1:3" x14ac:dyDescent="0.3">
      <c r="B33" t="s">
        <v>197</v>
      </c>
    </row>
    <row r="34" spans="1:3" x14ac:dyDescent="0.3">
      <c r="C34" t="s">
        <v>199</v>
      </c>
    </row>
    <row r="35" spans="1:3" x14ac:dyDescent="0.3">
      <c r="B35" t="s">
        <v>200</v>
      </c>
    </row>
    <row r="36" spans="1:3" x14ac:dyDescent="0.3">
      <c r="C36" t="s">
        <v>183</v>
      </c>
    </row>
    <row r="37" spans="1:3" x14ac:dyDescent="0.3">
      <c r="B37" t="s">
        <v>201</v>
      </c>
    </row>
    <row r="39" spans="1:3" x14ac:dyDescent="0.3">
      <c r="A39">
        <v>6</v>
      </c>
      <c r="B39" t="s">
        <v>202</v>
      </c>
    </row>
    <row r="40" spans="1:3" x14ac:dyDescent="0.3">
      <c r="C40" t="s">
        <v>207</v>
      </c>
    </row>
    <row r="41" spans="1:3" x14ac:dyDescent="0.3">
      <c r="C41" t="s">
        <v>208</v>
      </c>
    </row>
    <row r="43" spans="1:3" x14ac:dyDescent="0.3">
      <c r="B43" s="201" t="s">
        <v>215</v>
      </c>
    </row>
    <row r="44" spans="1:3" x14ac:dyDescent="0.3">
      <c r="A44">
        <v>6</v>
      </c>
      <c r="B44" t="s">
        <v>218</v>
      </c>
    </row>
    <row r="45" spans="1:3" x14ac:dyDescent="0.3">
      <c r="C45" t="s">
        <v>216</v>
      </c>
    </row>
    <row r="46" spans="1:3" x14ac:dyDescent="0.3">
      <c r="B46" s="201"/>
      <c r="C46" t="s">
        <v>217</v>
      </c>
    </row>
    <row r="49" spans="1:6" ht="21" x14ac:dyDescent="0.4">
      <c r="A49" s="203" t="s">
        <v>177</v>
      </c>
      <c r="B49" s="204"/>
      <c r="C49" s="204"/>
      <c r="D49" s="204"/>
    </row>
    <row r="50" spans="1:6" x14ac:dyDescent="0.3">
      <c r="B50" s="3" t="s">
        <v>83</v>
      </c>
    </row>
    <row r="51" spans="1:6" x14ac:dyDescent="0.3">
      <c r="B51" t="s">
        <v>178</v>
      </c>
    </row>
    <row r="52" spans="1:6" x14ac:dyDescent="0.3">
      <c r="B52" t="s">
        <v>179</v>
      </c>
    </row>
    <row r="53" spans="1:6" x14ac:dyDescent="0.3">
      <c r="B53" t="s">
        <v>180</v>
      </c>
    </row>
    <row r="55" spans="1:6" x14ac:dyDescent="0.3">
      <c r="B55" s="3" t="s">
        <v>182</v>
      </c>
    </row>
    <row r="56" spans="1:6" x14ac:dyDescent="0.3">
      <c r="A56" s="3"/>
      <c r="B56" s="200" t="s">
        <v>192</v>
      </c>
    </row>
    <row r="57" spans="1:6" x14ac:dyDescent="0.3">
      <c r="B57" t="s">
        <v>220</v>
      </c>
    </row>
    <row r="58" spans="1:6" x14ac:dyDescent="0.3">
      <c r="B58" t="s">
        <v>184</v>
      </c>
    </row>
    <row r="59" spans="1:6" x14ac:dyDescent="0.3">
      <c r="C59" t="s">
        <v>185</v>
      </c>
      <c r="E59" s="24" t="s">
        <v>186</v>
      </c>
    </row>
    <row r="60" spans="1:6" x14ac:dyDescent="0.3">
      <c r="C60" t="s">
        <v>187</v>
      </c>
      <c r="E60">
        <v>1</v>
      </c>
    </row>
    <row r="61" spans="1:6" x14ac:dyDescent="0.3">
      <c r="C61" t="s">
        <v>188</v>
      </c>
      <c r="E61">
        <v>2</v>
      </c>
    </row>
    <row r="62" spans="1:6" x14ac:dyDescent="0.3">
      <c r="C62" t="s">
        <v>189</v>
      </c>
      <c r="E62">
        <v>3</v>
      </c>
      <c r="F62" t="s">
        <v>190</v>
      </c>
    </row>
    <row r="63" spans="1:6" x14ac:dyDescent="0.3">
      <c r="B63" t="s">
        <v>191</v>
      </c>
    </row>
    <row r="64" spans="1:6" x14ac:dyDescent="0.3">
      <c r="B64" s="200" t="s">
        <v>7</v>
      </c>
    </row>
    <row r="65" spans="2:4" x14ac:dyDescent="0.3">
      <c r="B65" t="s">
        <v>219</v>
      </c>
    </row>
    <row r="66" spans="2:4" x14ac:dyDescent="0.3">
      <c r="C66" t="s">
        <v>209</v>
      </c>
    </row>
    <row r="67" spans="2:4" x14ac:dyDescent="0.3">
      <c r="D67" t="s">
        <v>210</v>
      </c>
    </row>
    <row r="68" spans="2:4" x14ac:dyDescent="0.3">
      <c r="D68" t="s">
        <v>211</v>
      </c>
    </row>
    <row r="71" spans="2:4" x14ac:dyDescent="0.3">
      <c r="C71" t="s">
        <v>212</v>
      </c>
    </row>
    <row r="72" spans="2:4" x14ac:dyDescent="0.3">
      <c r="D72" t="s">
        <v>213</v>
      </c>
    </row>
    <row r="73" spans="2:4" x14ac:dyDescent="0.3">
      <c r="C73" t="s">
        <v>214</v>
      </c>
    </row>
    <row r="75" spans="2:4" x14ac:dyDescent="0.3">
      <c r="B75" s="3" t="s">
        <v>2</v>
      </c>
    </row>
    <row r="76" spans="2:4" x14ac:dyDescent="0.3">
      <c r="B76" t="s">
        <v>221</v>
      </c>
    </row>
    <row r="77" spans="2:4" x14ac:dyDescent="0.3">
      <c r="B77" t="s">
        <v>222</v>
      </c>
    </row>
    <row r="78" spans="2:4" x14ac:dyDescent="0.3">
      <c r="B78" t="s">
        <v>223</v>
      </c>
    </row>
    <row r="79" spans="2:4" x14ac:dyDescent="0.3">
      <c r="B79" t="s">
        <v>224</v>
      </c>
    </row>
    <row r="80" spans="2:4" x14ac:dyDescent="0.3">
      <c r="B80" t="s">
        <v>225</v>
      </c>
    </row>
    <row r="82" spans="2:2" x14ac:dyDescent="0.3">
      <c r="B82" s="3" t="s">
        <v>229</v>
      </c>
    </row>
    <row r="83" spans="2:2" x14ac:dyDescent="0.3">
      <c r="B83" t="s">
        <v>230</v>
      </c>
    </row>
    <row r="84" spans="2:2" x14ac:dyDescent="0.3">
      <c r="B84" t="s">
        <v>234</v>
      </c>
    </row>
    <row r="115" spans="1:4" x14ac:dyDescent="0.3">
      <c r="A115" t="s">
        <v>100</v>
      </c>
    </row>
    <row r="116" spans="1:4" x14ac:dyDescent="0.3">
      <c r="B116" t="s">
        <v>101</v>
      </c>
    </row>
    <row r="117" spans="1:4" x14ac:dyDescent="0.3">
      <c r="B117" t="s">
        <v>102</v>
      </c>
    </row>
    <row r="118" spans="1:4" x14ac:dyDescent="0.3">
      <c r="C118" t="s">
        <v>103</v>
      </c>
    </row>
    <row r="119" spans="1:4" x14ac:dyDescent="0.3">
      <c r="C119" t="s">
        <v>104</v>
      </c>
    </row>
    <row r="120" spans="1:4" x14ac:dyDescent="0.3">
      <c r="D120" t="s">
        <v>105</v>
      </c>
    </row>
    <row r="121" spans="1:4" x14ac:dyDescent="0.3">
      <c r="D121" t="s">
        <v>106</v>
      </c>
    </row>
    <row r="122" spans="1:4" x14ac:dyDescent="0.3">
      <c r="C122" t="s">
        <v>109</v>
      </c>
    </row>
    <row r="123" spans="1:4" x14ac:dyDescent="0.3">
      <c r="D123" t="s">
        <v>110</v>
      </c>
    </row>
    <row r="124" spans="1:4" x14ac:dyDescent="0.3">
      <c r="D124" t="s">
        <v>111</v>
      </c>
    </row>
    <row r="125" spans="1:4" x14ac:dyDescent="0.3">
      <c r="B125" t="s">
        <v>107</v>
      </c>
    </row>
    <row r="126" spans="1:4" x14ac:dyDescent="0.3">
      <c r="C126" t="s">
        <v>108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zoomScaleNormal="100" workbookViewId="0">
      <selection activeCell="I7" sqref="I7"/>
    </sheetView>
  </sheetViews>
  <sheetFormatPr defaultRowHeight="14.4" outlineLevelRow="1" outlineLevelCol="3" x14ac:dyDescent="0.3"/>
  <cols>
    <col min="1" max="1" width="8" bestFit="1" customWidth="1"/>
    <col min="2" max="2" width="17" bestFit="1" customWidth="1"/>
    <col min="3" max="3" width="24.109375" customWidth="1"/>
    <col min="4" max="4" width="11.5546875" customWidth="1"/>
    <col min="5" max="5" width="11.5546875" customWidth="1" outlineLevel="2"/>
    <col min="6" max="8" width="11.33203125" customWidth="1" outlineLevel="2"/>
    <col min="9" max="10" width="11.33203125" customWidth="1" outlineLevel="3"/>
    <col min="11" max="11" width="15.109375" customWidth="1" outlineLevel="3"/>
    <col min="12" max="12" width="11.33203125" customWidth="1" outlineLevel="3"/>
    <col min="13" max="13" width="12.44140625" bestFit="1" customWidth="1"/>
    <col min="14" max="14" width="11.33203125" customWidth="1"/>
    <col min="15" max="15" width="12.109375" bestFit="1" customWidth="1"/>
    <col min="17" max="17" width="10" customWidth="1"/>
  </cols>
  <sheetData>
    <row r="1" spans="1:17" ht="21.6" thickBot="1" x14ac:dyDescent="0.45">
      <c r="A1" s="42" t="str">
        <f>CONCATENATE("Master Combined Score Sheet: ",'Order of Go &amp; Master Sheet'!$G$1)</f>
        <v>Master Combined Score Sheet: Pre-Entry (.75m)</v>
      </c>
      <c r="O1" s="40" t="s">
        <v>54</v>
      </c>
    </row>
    <row r="2" spans="1:17" ht="15.6" x14ac:dyDescent="0.3">
      <c r="D2" s="132"/>
      <c r="E2" s="132"/>
      <c r="F2" s="45"/>
      <c r="G2" s="185" t="s">
        <v>142</v>
      </c>
      <c r="H2" s="46" t="str">
        <f>Stadium!B3</f>
        <v>1:24</v>
      </c>
      <c r="I2" s="132"/>
      <c r="J2" s="142" t="s">
        <v>0</v>
      </c>
      <c r="K2" s="186" t="str">
        <f>'XC Time'!B3</f>
        <v>5:11</v>
      </c>
      <c r="L2" s="187"/>
      <c r="O2" s="40" t="s">
        <v>55</v>
      </c>
      <c r="Q2" t="s">
        <v>79</v>
      </c>
    </row>
    <row r="3" spans="1:17" ht="15.6" x14ac:dyDescent="0.3">
      <c r="A3" s="1"/>
      <c r="B3" s="1"/>
      <c r="C3" s="1"/>
      <c r="D3" s="53"/>
      <c r="E3" s="137"/>
      <c r="H3" s="48"/>
      <c r="I3" s="53"/>
      <c r="J3" s="143" t="s">
        <v>1</v>
      </c>
      <c r="K3" s="66" t="str">
        <f>'XC Time'!B11</f>
        <v>4:49</v>
      </c>
      <c r="L3" s="188"/>
      <c r="M3" s="79"/>
      <c r="O3" s="40" t="s">
        <v>56</v>
      </c>
      <c r="Q3" s="79" t="s">
        <v>80</v>
      </c>
    </row>
    <row r="4" spans="1:17" ht="15.6" x14ac:dyDescent="0.3">
      <c r="A4" s="2"/>
      <c r="D4" s="133" t="s">
        <v>82</v>
      </c>
      <c r="E4" s="49" t="s">
        <v>2</v>
      </c>
      <c r="F4" s="2" t="s">
        <v>2</v>
      </c>
      <c r="G4" s="2" t="s">
        <v>2</v>
      </c>
      <c r="H4" s="182" t="s">
        <v>2</v>
      </c>
      <c r="I4" s="49" t="s">
        <v>3</v>
      </c>
      <c r="J4" s="2" t="s">
        <v>3</v>
      </c>
      <c r="K4" s="2" t="s">
        <v>3</v>
      </c>
      <c r="L4" s="182" t="s">
        <v>3</v>
      </c>
      <c r="M4" s="130" t="s">
        <v>4</v>
      </c>
      <c r="N4" s="130" t="s">
        <v>4</v>
      </c>
      <c r="O4" t="s">
        <v>59</v>
      </c>
    </row>
    <row r="5" spans="1:17" ht="15.6" x14ac:dyDescent="0.3">
      <c r="A5" s="2" t="s">
        <v>58</v>
      </c>
      <c r="B5" s="2" t="s">
        <v>5</v>
      </c>
      <c r="C5" s="2" t="s">
        <v>6</v>
      </c>
      <c r="D5" s="134" t="s">
        <v>8</v>
      </c>
      <c r="E5" s="49" t="s">
        <v>7</v>
      </c>
      <c r="F5" s="2" t="s">
        <v>57</v>
      </c>
      <c r="G5" s="2" t="s">
        <v>62</v>
      </c>
      <c r="H5" s="182" t="s">
        <v>8</v>
      </c>
      <c r="I5" s="49" t="s">
        <v>10</v>
      </c>
      <c r="J5" s="144" t="s">
        <v>57</v>
      </c>
      <c r="K5" s="2" t="s">
        <v>62</v>
      </c>
      <c r="L5" s="182" t="s">
        <v>8</v>
      </c>
      <c r="M5" s="130" t="s">
        <v>8</v>
      </c>
      <c r="N5" s="130" t="s">
        <v>9</v>
      </c>
    </row>
    <row r="6" spans="1:17" ht="15.6" x14ac:dyDescent="0.3">
      <c r="A6" s="164">
        <v>70</v>
      </c>
      <c r="B6" t="str">
        <f>VLOOKUP(VALUE($A6),'Order of Go &amp; Master Sheet'!$A:$C,2,FALSE)</f>
        <v>Lavender Woodman</v>
      </c>
      <c r="C6" t="str">
        <f>VLOOKUP(VALUE($A6),'Order of Go &amp; Master Sheet'!$A:$C,3,FALSE)</f>
        <v>Watson's Cydney</v>
      </c>
      <c r="D6" s="135">
        <f>VLOOKUP(A6,Dressage!$A$6:$G$19,6,FALSE)</f>
        <v>22.499999999999996</v>
      </c>
      <c r="E6" s="138" t="str">
        <f>IF(ISNA(VLOOKUP(A6,Stadium!$A:$K,6,FALSE)),0,VLOOKUP(A6,Stadium!$A:$K,6,FALSE))</f>
        <v>1:6</v>
      </c>
      <c r="F6" s="139">
        <f>IF(ISNA(VLOOKUP(A6,Stadium!$A:$K,9,FALSE)),0,VLOOKUP(A6,Stadium!$A:$K,9,FALSE))</f>
        <v>0</v>
      </c>
      <c r="G6" s="139">
        <f>IF(ISNA(VLOOKUP(A6,Stadium!$A:$S,17,FALSE)),0,VLOOKUP(A6,Stadium!$A:$S,17,FALSE))</f>
        <v>0</v>
      </c>
      <c r="H6" s="183">
        <f>F6+G6</f>
        <v>0</v>
      </c>
      <c r="I6" s="65" t="str">
        <f>VLOOKUP(A6,'XC Time'!$A$28:$Q$39,9,FALSE)</f>
        <v>4:47</v>
      </c>
      <c r="J6" s="139">
        <f>VLOOKUP(A6,'XC Time'!$A$28:$Q$39,15,FALSE)</f>
        <v>2</v>
      </c>
      <c r="K6" s="145">
        <f>VLOOKUP(A6,'XC Time'!$A$28:$Q$39,16,FALSE)</f>
        <v>0</v>
      </c>
      <c r="L6" s="189">
        <f>J6+K6</f>
        <v>2</v>
      </c>
      <c r="M6" s="131">
        <f t="shared" ref="M6:M11" si="0">IF(L6="E","E",IF(L6="R","R",IF(L6="Unjudged","Unjudged",IF(H6="E","E",D6+H6+L6))))</f>
        <v>24.499999999999996</v>
      </c>
      <c r="N6" s="17" t="e">
        <f>IF(M6="E","E",IF(M6="R","R",IF(M6="Unjudged","Unjudged",RANK(M6,$M$6:$M$16,1))))</f>
        <v>#N/A</v>
      </c>
      <c r="O6" s="41">
        <f t="shared" ref="O6:O16" si="1">D6+H6+L6-M6</f>
        <v>0</v>
      </c>
      <c r="Q6" s="82"/>
    </row>
    <row r="7" spans="1:17" ht="15.6" x14ac:dyDescent="0.3">
      <c r="A7" s="164">
        <v>51</v>
      </c>
      <c r="B7" t="str">
        <f>VLOOKUP(VALUE($A7),'Order of Go &amp; Master Sheet'!$A:$C,2,FALSE)</f>
        <v>Faith Stuart</v>
      </c>
      <c r="C7" t="str">
        <f>VLOOKUP(VALUE($A7),'Order of Go &amp; Master Sheet'!$A:$C,3,FALSE)</f>
        <v>Fix It Felix</v>
      </c>
      <c r="D7" s="135">
        <f>VLOOKUP(A7,Dressage!$A$6:$G$19,6,FALSE)</f>
        <v>14.166666666666671</v>
      </c>
      <c r="E7" s="138" t="str">
        <f>IF(ISNA(VLOOKUP(A7,Stadium!$A:$K,6,FALSE)),0,VLOOKUP(A7,Stadium!$A:$K,6,FALSE))</f>
        <v>0:0</v>
      </c>
      <c r="F7" s="139">
        <f>IF(ISNA(VLOOKUP(A7,Stadium!$A:$K,9,FALSE)),0,VLOOKUP(A7,Stadium!$A:$K,9,FALSE))</f>
        <v>0</v>
      </c>
      <c r="G7" s="139" t="str">
        <f>IF(ISNA(VLOOKUP(A7,Stadium!$A:$S,17,FALSE)),0,VLOOKUP(A7,Stadium!$A:$S,17,FALSE))</f>
        <v>E</v>
      </c>
      <c r="H7" s="183" t="s">
        <v>11</v>
      </c>
      <c r="I7" s="65" t="str">
        <f>VLOOKUP(A7,'XC Time'!$A$28:$Q$39,9,FALSE)</f>
        <v>5:37</v>
      </c>
      <c r="J7" s="139">
        <f>VLOOKUP(A7,'XC Time'!$A$28:$Q$39,15,FALSE)</f>
        <v>10.4</v>
      </c>
      <c r="K7" s="145">
        <f>VLOOKUP(A7,'XC Time'!$A$28:$Q$39,16,FALSE)</f>
        <v>20</v>
      </c>
      <c r="L7" s="189">
        <f t="shared" ref="L7:L16" si="2">J7+K7</f>
        <v>30.4</v>
      </c>
      <c r="M7" s="131" t="str">
        <f t="shared" si="0"/>
        <v>E</v>
      </c>
      <c r="N7" s="17" t="str">
        <f t="shared" ref="N7:N11" si="3">IF(M7="E","E",IF(M7="R","R",IF(M7="Unjudged","Unjudged",RANK(M7,$M$6:$M$16,1))))</f>
        <v>E</v>
      </c>
      <c r="O7" s="41" t="e">
        <f t="shared" si="1"/>
        <v>#VALUE!</v>
      </c>
      <c r="Q7" s="82"/>
    </row>
    <row r="8" spans="1:17" ht="15.6" x14ac:dyDescent="0.3">
      <c r="A8" s="164">
        <v>41</v>
      </c>
      <c r="B8" t="str">
        <f>VLOOKUP(VALUE($A8),'Order of Go &amp; Master Sheet'!$A:$C,2,FALSE)</f>
        <v>Celine Branconnier</v>
      </c>
      <c r="C8" t="str">
        <f>VLOOKUP(VALUE($A8),'Order of Go &amp; Master Sheet'!$A:$C,3,FALSE)</f>
        <v>Whiley Coyote</v>
      </c>
      <c r="D8" s="135">
        <f>VLOOKUP(A8,Dressage!$A$6:$G$19,6,FALSE)</f>
        <v>34.166666666666664</v>
      </c>
      <c r="E8" s="138" t="str">
        <f>IF(ISNA(VLOOKUP(A8,Stadium!$A:$K,6,FALSE)),0,VLOOKUP(A8,Stadium!$A:$K,6,FALSE))</f>
        <v>1:17</v>
      </c>
      <c r="F8" s="139">
        <f>IF(ISNA(VLOOKUP(A8,Stadium!$A:$K,9,FALSE)),0,VLOOKUP(A8,Stadium!$A:$K,9,FALSE))</f>
        <v>0</v>
      </c>
      <c r="G8" s="139">
        <f>IF(ISNA(VLOOKUP(A8,Stadium!$A:$S,17,FALSE)),0,VLOOKUP(A8,Stadium!$A:$S,17,FALSE))</f>
        <v>8</v>
      </c>
      <c r="H8" s="183">
        <f t="shared" ref="H8:H16" si="4">F8+G8</f>
        <v>8</v>
      </c>
      <c r="I8" s="65" t="str">
        <f>VLOOKUP(A8,'XC Time'!$A$28:$Q$39,9,FALSE)</f>
        <v>4:33</v>
      </c>
      <c r="J8" s="139">
        <f>VLOOKUP(A8,'XC Time'!$A$28:$Q$39,15,FALSE)</f>
        <v>16</v>
      </c>
      <c r="K8" s="145">
        <f>VLOOKUP(A8,'XC Time'!$A$28:$Q$39,16,FALSE)</f>
        <v>0</v>
      </c>
      <c r="L8" s="189">
        <f t="shared" si="2"/>
        <v>16</v>
      </c>
      <c r="M8" s="131">
        <f t="shared" si="0"/>
        <v>58.166666666666664</v>
      </c>
      <c r="N8" s="17" t="e">
        <f t="shared" si="3"/>
        <v>#N/A</v>
      </c>
      <c r="O8" s="41">
        <f t="shared" si="1"/>
        <v>0</v>
      </c>
      <c r="Q8" s="82"/>
    </row>
    <row r="9" spans="1:17" ht="15.6" x14ac:dyDescent="0.3">
      <c r="A9" s="164">
        <v>43</v>
      </c>
      <c r="B9" t="str">
        <f>VLOOKUP(VALUE($A9),'Order of Go &amp; Master Sheet'!$A:$C,2,FALSE)</f>
        <v>Aleesha Gillette</v>
      </c>
      <c r="C9" t="str">
        <f>VLOOKUP(VALUE($A9),'Order of Go &amp; Master Sheet'!$A:$C,3,FALSE)</f>
        <v>Dark Details</v>
      </c>
      <c r="D9" s="135" t="e">
        <f>VLOOKUP(A9,Dressage!$A$6:$G$19,6,FALSE)</f>
        <v>#N/A</v>
      </c>
      <c r="E9" s="138">
        <f>IF(ISNA(VLOOKUP(A9,Stadium!$A:$K,6,FALSE)),0,VLOOKUP(A9,Stadium!$A:$K,6,FALSE))</f>
        <v>0</v>
      </c>
      <c r="F9" s="139">
        <f>IF(ISNA(VLOOKUP(A9,Stadium!$A:$K,9,FALSE)),0,VLOOKUP(A9,Stadium!$A:$K,9,FALSE))</f>
        <v>0</v>
      </c>
      <c r="G9" s="139">
        <f>IF(ISNA(VLOOKUP(A9,Stadium!$A:$S,17,FALSE)),0,VLOOKUP(A9,Stadium!$A:$S,17,FALSE))</f>
        <v>0</v>
      </c>
      <c r="H9" s="183">
        <f t="shared" si="4"/>
        <v>0</v>
      </c>
      <c r="I9" s="65" t="str">
        <f>VLOOKUP(A9,'XC Time'!$A$28:$Q$39,9,FALSE)</f>
        <v>5:25</v>
      </c>
      <c r="J9" s="139">
        <f>VLOOKUP(A9,'XC Time'!$A$28:$Q$39,15,FALSE)</f>
        <v>5.6000000000000005</v>
      </c>
      <c r="K9" s="145">
        <f>VLOOKUP(A9,'XC Time'!$A$28:$Q$39,16,FALSE)</f>
        <v>20</v>
      </c>
      <c r="L9" s="189">
        <f t="shared" si="2"/>
        <v>25.6</v>
      </c>
      <c r="M9" s="131" t="e">
        <f t="shared" si="0"/>
        <v>#N/A</v>
      </c>
      <c r="N9" s="17" t="e">
        <f t="shared" si="3"/>
        <v>#N/A</v>
      </c>
      <c r="O9" s="41" t="e">
        <f t="shared" si="1"/>
        <v>#N/A</v>
      </c>
    </row>
    <row r="10" spans="1:17" ht="15.6" x14ac:dyDescent="0.3">
      <c r="A10" s="164"/>
      <c r="B10" t="e">
        <f>VLOOKUP(VALUE($A10),'Order of Go &amp; Master Sheet'!$A:$C,2,FALSE)</f>
        <v>#N/A</v>
      </c>
      <c r="C10" t="e">
        <f>VLOOKUP(VALUE($A10),'Order of Go &amp; Master Sheet'!$A:$C,3,FALSE)</f>
        <v>#N/A</v>
      </c>
      <c r="D10" s="135" t="e">
        <f>VLOOKUP(A10,Dressage!$A$6:$G$19,6,FALSE)</f>
        <v>#N/A</v>
      </c>
      <c r="E10" s="138">
        <f>IF(ISNA(VLOOKUP(A10,Stadium!$A:$K,6,FALSE)),0,VLOOKUP(A10,Stadium!$A:$K,6,FALSE))</f>
        <v>0</v>
      </c>
      <c r="F10" s="139">
        <f>IF(ISNA(VLOOKUP(A10,Stadium!$A:$K,9,FALSE)),0,VLOOKUP(A10,Stadium!$A:$K,9,FALSE))</f>
        <v>0</v>
      </c>
      <c r="G10" s="139">
        <f>IF(ISNA(VLOOKUP(A10,Stadium!$A:$S,17,FALSE)),0,VLOOKUP(A10,Stadium!$A:$S,17,FALSE))</f>
        <v>0</v>
      </c>
      <c r="H10" s="183">
        <f t="shared" si="4"/>
        <v>0</v>
      </c>
      <c r="I10" s="65" t="str">
        <f>VLOOKUP(A10,'XC Time'!$A$28:$Q$39,9,FALSE)</f>
        <v>:</v>
      </c>
      <c r="J10" s="139">
        <f>VLOOKUP(A10,'XC Time'!$A$28:$Q$39,15,FALSE)</f>
        <v>0</v>
      </c>
      <c r="K10" s="145">
        <f>VLOOKUP(A10,'XC Time'!$A$28:$Q$39,16,FALSE)</f>
        <v>0</v>
      </c>
      <c r="L10" s="189">
        <f t="shared" si="2"/>
        <v>0</v>
      </c>
      <c r="M10" s="131" t="e">
        <f t="shared" si="0"/>
        <v>#N/A</v>
      </c>
      <c r="N10" s="17" t="e">
        <f t="shared" si="3"/>
        <v>#N/A</v>
      </c>
      <c r="O10" s="41" t="e">
        <f t="shared" si="1"/>
        <v>#N/A</v>
      </c>
    </row>
    <row r="11" spans="1:17" ht="15.6" x14ac:dyDescent="0.3">
      <c r="A11" s="164"/>
      <c r="B11" t="e">
        <f>VLOOKUP(VALUE($A11),'Order of Go &amp; Master Sheet'!$A:$C,2,FALSE)</f>
        <v>#N/A</v>
      </c>
      <c r="C11" t="e">
        <f>VLOOKUP(VALUE($A11),'Order of Go &amp; Master Sheet'!$A:$C,3,FALSE)</f>
        <v>#N/A</v>
      </c>
      <c r="D11" s="135" t="e">
        <f>VLOOKUP(A11,Dressage!$A$6:$G$19,6,FALSE)</f>
        <v>#N/A</v>
      </c>
      <c r="E11" s="138">
        <f>IF(ISNA(VLOOKUP(A11,Stadium!$A:$K,6,FALSE)),0,VLOOKUP(A11,Stadium!$A:$K,6,FALSE))</f>
        <v>0</v>
      </c>
      <c r="F11" s="139">
        <f>IF(ISNA(VLOOKUP(A11,Stadium!$A:$K,9,FALSE)),0,VLOOKUP(A11,Stadium!$A:$K,9,FALSE))</f>
        <v>0</v>
      </c>
      <c r="G11" s="139">
        <f>IF(ISNA(VLOOKUP(A11,Stadium!$A:$S,17,FALSE)),0,VLOOKUP(A11,Stadium!$A:$S,17,FALSE))</f>
        <v>0</v>
      </c>
      <c r="H11" s="183">
        <f t="shared" si="4"/>
        <v>0</v>
      </c>
      <c r="I11" s="65" t="str">
        <f>VLOOKUP(A11,'XC Time'!$A$28:$Q$39,9,FALSE)</f>
        <v>:</v>
      </c>
      <c r="J11" s="139">
        <f>VLOOKUP(A11,'XC Time'!$A$28:$Q$39,15,FALSE)</f>
        <v>0</v>
      </c>
      <c r="K11" s="145">
        <f>VLOOKUP(A11,'XC Time'!$A$28:$Q$39,16,FALSE)</f>
        <v>0</v>
      </c>
      <c r="L11" s="189">
        <f t="shared" si="2"/>
        <v>0</v>
      </c>
      <c r="M11" s="131" t="e">
        <f t="shared" si="0"/>
        <v>#N/A</v>
      </c>
      <c r="N11" s="17" t="e">
        <f t="shared" si="3"/>
        <v>#N/A</v>
      </c>
      <c r="O11" s="41" t="e">
        <f t="shared" si="1"/>
        <v>#N/A</v>
      </c>
    </row>
    <row r="12" spans="1:17" ht="15.6" x14ac:dyDescent="0.3">
      <c r="A12" s="164"/>
      <c r="B12" t="e">
        <f>VLOOKUP(VALUE($A12),'Order of Go &amp; Master Sheet'!$A:$C,2,FALSE)</f>
        <v>#N/A</v>
      </c>
      <c r="C12" t="e">
        <f>VLOOKUP(VALUE($A12),'Order of Go &amp; Master Sheet'!$A:$C,3,FALSE)</f>
        <v>#N/A</v>
      </c>
      <c r="D12" s="135" t="e">
        <f>VLOOKUP(A12,Dressage!$A$6:$G$19,6,FALSE)</f>
        <v>#N/A</v>
      </c>
      <c r="E12" s="138">
        <f>IF(ISNA(VLOOKUP(A12,Stadium!$A:$K,6,FALSE)),0,VLOOKUP(A12,Stadium!$A:$K,6,FALSE))</f>
        <v>0</v>
      </c>
      <c r="F12" s="139">
        <f>IF(ISNA(VLOOKUP(A12,Stadium!$A:$K,9,FALSE)),0,VLOOKUP(A12,Stadium!$A:$K,9,FALSE))</f>
        <v>0</v>
      </c>
      <c r="G12" s="139">
        <f>IF(ISNA(VLOOKUP(A12,Stadium!$A:$S,17,FALSE)),0,VLOOKUP(A12,Stadium!$A:$S,17,FALSE))</f>
        <v>0</v>
      </c>
      <c r="H12" s="183">
        <f t="shared" si="4"/>
        <v>0</v>
      </c>
      <c r="I12" s="65" t="str">
        <f>VLOOKUP(A12,'XC Time'!$A$28:$Q$39,9,FALSE)</f>
        <v>:</v>
      </c>
      <c r="J12" s="139">
        <f>VLOOKUP(A12,'XC Time'!$A$28:$Q$39,15,FALSE)</f>
        <v>0</v>
      </c>
      <c r="K12" s="145">
        <f>VLOOKUP(A12,'XC Time'!$A$28:$Q$39,16,FALSE)</f>
        <v>0</v>
      </c>
      <c r="L12" s="189">
        <f t="shared" si="2"/>
        <v>0</v>
      </c>
      <c r="M12" s="131"/>
      <c r="N12" s="17"/>
      <c r="O12" s="41" t="e">
        <f t="shared" si="1"/>
        <v>#N/A</v>
      </c>
    </row>
    <row r="13" spans="1:17" ht="15.6" x14ac:dyDescent="0.3">
      <c r="A13" s="164"/>
      <c r="B13" t="e">
        <f>VLOOKUP(VALUE($A13),'Order of Go &amp; Master Sheet'!$A:$C,2,FALSE)</f>
        <v>#N/A</v>
      </c>
      <c r="C13" t="e">
        <f>VLOOKUP(VALUE($A13),'Order of Go &amp; Master Sheet'!$A:$C,3,FALSE)</f>
        <v>#N/A</v>
      </c>
      <c r="D13" s="135" t="e">
        <f>VLOOKUP(A13,Dressage!$A$6:$G$19,6,FALSE)</f>
        <v>#N/A</v>
      </c>
      <c r="E13" s="138">
        <f>IF(ISNA(VLOOKUP(A13,Stadium!$A:$K,6,FALSE)),0,VLOOKUP(A13,Stadium!$A:$K,6,FALSE))</f>
        <v>0</v>
      </c>
      <c r="F13" s="139">
        <f>IF(ISNA(VLOOKUP(A13,Stadium!$A:$K,9,FALSE)),0,VLOOKUP(A13,Stadium!$A:$K,9,FALSE))</f>
        <v>0</v>
      </c>
      <c r="G13" s="139">
        <f>IF(ISNA(VLOOKUP(A13,Stadium!$A:$S,17,FALSE)),0,VLOOKUP(A13,Stadium!$A:$S,17,FALSE))</f>
        <v>0</v>
      </c>
      <c r="H13" s="183">
        <f t="shared" si="4"/>
        <v>0</v>
      </c>
      <c r="I13" s="65" t="str">
        <f>VLOOKUP(A13,'XC Time'!$A$28:$Q$39,9,FALSE)</f>
        <v>:</v>
      </c>
      <c r="J13" s="139">
        <f>VLOOKUP(A13,'XC Time'!$A$28:$Q$39,15,FALSE)</f>
        <v>0</v>
      </c>
      <c r="K13" s="145">
        <f>VLOOKUP(A13,'XC Time'!$A$28:$Q$39,16,FALSE)</f>
        <v>0</v>
      </c>
      <c r="L13" s="189">
        <f t="shared" si="2"/>
        <v>0</v>
      </c>
      <c r="M13" s="131"/>
      <c r="N13" s="17"/>
      <c r="O13" s="41" t="e">
        <f t="shared" si="1"/>
        <v>#N/A</v>
      </c>
    </row>
    <row r="14" spans="1:17" ht="15.6" x14ac:dyDescent="0.3">
      <c r="A14" s="164"/>
      <c r="B14" t="e">
        <f>VLOOKUP(VALUE($A14),'Order of Go &amp; Master Sheet'!$A:$C,2,FALSE)</f>
        <v>#N/A</v>
      </c>
      <c r="C14" t="e">
        <f>VLOOKUP(VALUE($A14),'Order of Go &amp; Master Sheet'!$A:$C,3,FALSE)</f>
        <v>#N/A</v>
      </c>
      <c r="D14" s="135" t="e">
        <f>VLOOKUP(A14,Dressage!$A$6:$G$19,6,FALSE)</f>
        <v>#N/A</v>
      </c>
      <c r="E14" s="138">
        <f>IF(ISNA(VLOOKUP(A14,Stadium!$A:$K,6,FALSE)),0,VLOOKUP(A14,Stadium!$A:$K,6,FALSE))</f>
        <v>0</v>
      </c>
      <c r="F14" s="139">
        <f>IF(ISNA(VLOOKUP(A14,Stadium!$A:$K,9,FALSE)),0,VLOOKUP(A14,Stadium!$A:$K,9,FALSE))</f>
        <v>0</v>
      </c>
      <c r="G14" s="139">
        <f>IF(ISNA(VLOOKUP(A14,Stadium!$A:$S,17,FALSE)),0,VLOOKUP(A14,Stadium!$A:$S,17,FALSE))</f>
        <v>0</v>
      </c>
      <c r="H14" s="183">
        <f t="shared" si="4"/>
        <v>0</v>
      </c>
      <c r="I14" s="65" t="str">
        <f>VLOOKUP(A14,'XC Time'!$A$28:$Q$39,9,FALSE)</f>
        <v>:</v>
      </c>
      <c r="J14" s="139">
        <f>VLOOKUP(A14,'XC Time'!$A$28:$Q$39,15,FALSE)</f>
        <v>0</v>
      </c>
      <c r="K14" s="145">
        <f>VLOOKUP(A14,'XC Time'!$A$28:$Q$39,16,FALSE)</f>
        <v>0</v>
      </c>
      <c r="L14" s="189">
        <f t="shared" si="2"/>
        <v>0</v>
      </c>
      <c r="M14" s="131"/>
      <c r="N14" s="17"/>
      <c r="O14" s="41" t="e">
        <f t="shared" si="1"/>
        <v>#N/A</v>
      </c>
    </row>
    <row r="15" spans="1:17" ht="15.6" x14ac:dyDescent="0.3">
      <c r="A15" s="164"/>
      <c r="B15" t="e">
        <f>VLOOKUP(VALUE($A15),'Order of Go &amp; Master Sheet'!$A:$C,2,FALSE)</f>
        <v>#N/A</v>
      </c>
      <c r="C15" t="e">
        <f>VLOOKUP(VALUE($A15),'Order of Go &amp; Master Sheet'!$A:$C,3,FALSE)</f>
        <v>#N/A</v>
      </c>
      <c r="D15" s="135" t="e">
        <f>VLOOKUP(A15,Dressage!$A$6:$G$19,6,FALSE)</f>
        <v>#N/A</v>
      </c>
      <c r="E15" s="138">
        <f>IF(ISNA(VLOOKUP(A15,Stadium!$A:$K,6,FALSE)),0,VLOOKUP(A15,Stadium!$A:$K,6,FALSE))</f>
        <v>0</v>
      </c>
      <c r="F15" s="139">
        <f>IF(ISNA(VLOOKUP(A15,Stadium!$A:$K,9,FALSE)),0,VLOOKUP(A15,Stadium!$A:$K,9,FALSE))</f>
        <v>0</v>
      </c>
      <c r="G15" s="139">
        <f>IF(ISNA(VLOOKUP(A15,Stadium!$A:$S,17,FALSE)),0,VLOOKUP(A15,Stadium!$A:$S,17,FALSE))</f>
        <v>0</v>
      </c>
      <c r="H15" s="183">
        <f t="shared" si="4"/>
        <v>0</v>
      </c>
      <c r="I15" s="65" t="str">
        <f>VLOOKUP(A15,'XC Time'!$A$28:$Q$39,9,FALSE)</f>
        <v>:</v>
      </c>
      <c r="J15" s="139">
        <f>VLOOKUP(A15,'XC Time'!$A$28:$Q$39,15,FALSE)</f>
        <v>0</v>
      </c>
      <c r="K15" s="145">
        <f>VLOOKUP(A15,'XC Time'!$A$28:$Q$39,16,FALSE)</f>
        <v>0</v>
      </c>
      <c r="L15" s="189">
        <f t="shared" si="2"/>
        <v>0</v>
      </c>
      <c r="M15" s="131"/>
      <c r="N15" s="17"/>
      <c r="O15" s="41" t="e">
        <f t="shared" si="1"/>
        <v>#N/A</v>
      </c>
    </row>
    <row r="16" spans="1:17" ht="16.2" thickBot="1" x14ac:dyDescent="0.35">
      <c r="A16" s="164"/>
      <c r="B16" t="e">
        <f>VLOOKUP(VALUE($A16),'Order of Go &amp; Master Sheet'!$A:$C,2,FALSE)</f>
        <v>#N/A</v>
      </c>
      <c r="C16" t="e">
        <f>VLOOKUP(VALUE($A16),'Order of Go &amp; Master Sheet'!$A:$C,3,FALSE)</f>
        <v>#N/A</v>
      </c>
      <c r="D16" s="136" t="e">
        <f>VLOOKUP(A16,Dressage!$A$6:$G$19,6,FALSE)</f>
        <v>#N/A</v>
      </c>
      <c r="E16" s="140">
        <f>IF(ISNA(VLOOKUP(A16,Stadium!$A:$K,6,FALSE)),0,VLOOKUP(A16,Stadium!$A:$K,6,FALSE))</f>
        <v>0</v>
      </c>
      <c r="F16" s="141">
        <f>IF(ISNA(VLOOKUP(A16,Stadium!$A:$K,9,FALSE)),0,VLOOKUP(A16,Stadium!$A:$K,9,FALSE))</f>
        <v>0</v>
      </c>
      <c r="G16" s="141">
        <f>IF(ISNA(VLOOKUP(A16,Stadium!$A:$S,17,FALSE)),0,VLOOKUP(A16,Stadium!$A:$S,17,FALSE))</f>
        <v>0</v>
      </c>
      <c r="H16" s="184">
        <f t="shared" si="4"/>
        <v>0</v>
      </c>
      <c r="I16" s="146" t="str">
        <f>VLOOKUP(A16,'XC Time'!$A$28:$Q$39,9,FALSE)</f>
        <v>:</v>
      </c>
      <c r="J16" s="141">
        <f>VLOOKUP(A16,'XC Time'!$A$28:$Q$39,15,FALSE)</f>
        <v>0</v>
      </c>
      <c r="K16" s="147">
        <f>VLOOKUP(A16,'XC Time'!$A$28:$Q$39,16,FALSE)</f>
        <v>0</v>
      </c>
      <c r="L16" s="190">
        <f t="shared" si="2"/>
        <v>0</v>
      </c>
      <c r="M16" s="131"/>
      <c r="N16" s="17"/>
      <c r="O16" s="41" t="e">
        <f t="shared" si="1"/>
        <v>#N/A</v>
      </c>
    </row>
    <row r="18" spans="1:17" ht="29.4" thickBot="1" x14ac:dyDescent="0.6">
      <c r="A18" s="69" t="s">
        <v>60</v>
      </c>
    </row>
    <row r="19" spans="1:17" ht="21" x14ac:dyDescent="0.4">
      <c r="A19" s="85" t="s">
        <v>85</v>
      </c>
      <c r="B19" s="45"/>
      <c r="C19" s="46"/>
      <c r="D19" s="179" t="s">
        <v>82</v>
      </c>
      <c r="E19" s="208" t="s">
        <v>64</v>
      </c>
      <c r="F19" s="208"/>
      <c r="G19" s="208"/>
      <c r="H19" s="208"/>
      <c r="I19" s="207" t="s">
        <v>65</v>
      </c>
      <c r="J19" s="208"/>
      <c r="K19" s="208"/>
      <c r="L19" s="208"/>
      <c r="M19" s="207" t="s">
        <v>63</v>
      </c>
      <c r="N19" s="209"/>
    </row>
    <row r="20" spans="1:17" x14ac:dyDescent="0.3">
      <c r="A20" s="86" t="str">
        <f>CONCATENATE('Order of Go &amp; Master Sheet'!$G$2," - ",'Order of Go &amp; Master Sheet'!$G$3)</f>
        <v>Spring Derby - May 14 2023</v>
      </c>
      <c r="C20" s="48"/>
      <c r="D20" s="180"/>
      <c r="E20" s="64"/>
      <c r="F20" s="64"/>
      <c r="G20" s="64"/>
      <c r="H20" s="64"/>
      <c r="I20" s="65"/>
      <c r="J20" s="66"/>
      <c r="K20" s="66"/>
      <c r="L20" s="66"/>
      <c r="M20" s="53"/>
      <c r="N20" s="48"/>
    </row>
    <row r="21" spans="1:17" ht="15.6" x14ac:dyDescent="0.3">
      <c r="A21" s="210" t="str">
        <f>CONCATENATE(RIGHT(A1,(LEN(A1)-FIND(":",A1,1)))," Division")</f>
        <v xml:space="preserve"> Pre-Entry (.75m) Division</v>
      </c>
      <c r="B21" s="211"/>
      <c r="C21" s="212"/>
      <c r="D21" s="180"/>
      <c r="E21" s="191" t="s">
        <v>163</v>
      </c>
      <c r="F21" s="169"/>
      <c r="G21" s="178" t="str">
        <f>CONCATENATE(Stadium!$B$4,":",Stadium!$B$5)</f>
        <v>1:24</v>
      </c>
      <c r="I21" s="192" t="s">
        <v>0</v>
      </c>
      <c r="K21" s="55" t="str">
        <f>'XC Time'!$B$3</f>
        <v>5:11</v>
      </c>
      <c r="M21" s="53"/>
      <c r="N21" s="48"/>
    </row>
    <row r="22" spans="1:17" ht="15.6" customHeight="1" thickBot="1" x14ac:dyDescent="0.35">
      <c r="A22" s="210"/>
      <c r="B22" s="211"/>
      <c r="C22" s="212"/>
      <c r="D22" s="181"/>
      <c r="H22" s="47"/>
      <c r="I22" s="192" t="s">
        <v>1</v>
      </c>
      <c r="K22" s="56" t="str">
        <f>'XC Time'!B11</f>
        <v>4:49</v>
      </c>
      <c r="M22" s="67"/>
      <c r="N22" s="68"/>
    </row>
    <row r="23" spans="1:17" ht="15.6" x14ac:dyDescent="0.3">
      <c r="A23" s="49"/>
      <c r="C23" s="48"/>
      <c r="D23" s="173" t="s">
        <v>83</v>
      </c>
      <c r="E23" s="173" t="s">
        <v>2</v>
      </c>
      <c r="F23" s="174" t="s">
        <v>2</v>
      </c>
      <c r="G23" s="174" t="s">
        <v>2</v>
      </c>
      <c r="H23" s="174" t="s">
        <v>2</v>
      </c>
      <c r="I23" s="173" t="s">
        <v>3</v>
      </c>
      <c r="J23" s="174" t="s">
        <v>3</v>
      </c>
      <c r="K23" s="174" t="s">
        <v>3</v>
      </c>
      <c r="L23" s="174" t="s">
        <v>3</v>
      </c>
      <c r="M23" s="57" t="s">
        <v>4</v>
      </c>
      <c r="N23" s="59" t="s">
        <v>4</v>
      </c>
    </row>
    <row r="24" spans="1:17" ht="16.2" thickBot="1" x14ac:dyDescent="0.35">
      <c r="A24" s="50" t="s">
        <v>58</v>
      </c>
      <c r="B24" s="51" t="s">
        <v>5</v>
      </c>
      <c r="C24" s="71" t="s">
        <v>6</v>
      </c>
      <c r="D24" s="50" t="s">
        <v>84</v>
      </c>
      <c r="E24" s="50" t="s">
        <v>7</v>
      </c>
      <c r="F24" s="175" t="s">
        <v>57</v>
      </c>
      <c r="G24" s="175" t="s">
        <v>62</v>
      </c>
      <c r="H24" s="176" t="s">
        <v>8</v>
      </c>
      <c r="I24" s="177" t="s">
        <v>7</v>
      </c>
      <c r="J24" s="175" t="s">
        <v>57</v>
      </c>
      <c r="K24" s="175" t="s">
        <v>62</v>
      </c>
      <c r="L24" s="176" t="s">
        <v>8</v>
      </c>
      <c r="M24" s="58" t="s">
        <v>8</v>
      </c>
      <c r="N24" s="60" t="s">
        <v>9</v>
      </c>
    </row>
    <row r="25" spans="1:17" x14ac:dyDescent="0.3">
      <c r="A25" s="165" t="e">
        <f t="shared" ref="A25:A30" si="5">INDEX($A$6:$A$17,MATCH(N25,$N$6:$N$17,0))</f>
        <v>#N/A</v>
      </c>
      <c r="B25" s="43" t="e">
        <f>VLOOKUP(A25,$A$4:$C$16,2,FALSE)</f>
        <v>#N/A</v>
      </c>
      <c r="C25" s="72" t="e">
        <f>VLOOKUP(A25,$A$4:$C$16,3,FALSE)</f>
        <v>#N/A</v>
      </c>
      <c r="D25" s="171" t="e">
        <f t="shared" ref="D25:D30" si="6">VLOOKUP(A25,$A$4:$D$17,4,FALSE)</f>
        <v>#N/A</v>
      </c>
      <c r="E25" s="63" t="e">
        <f>VLOOKUP(A25,$A$3:$E$16,5,FALSE)</f>
        <v>#N/A</v>
      </c>
      <c r="F25" s="44" t="e">
        <f>VLOOKUP(A25,$A$3:$H$17,6,FALSE)</f>
        <v>#N/A</v>
      </c>
      <c r="G25" s="44" t="e">
        <f>VLOOKUP(A25,$A$3:$H$17,7,FALSE)</f>
        <v>#N/A</v>
      </c>
      <c r="H25" s="167" t="e">
        <f>VLOOKUP(A25,$A$3:$H$17,8,FALSE)</f>
        <v>#N/A</v>
      </c>
      <c r="I25" s="63" t="e">
        <f t="shared" ref="I25:I29" si="7">VLOOKUP(A25,$A$3:$L$17,9,FALSE)</f>
        <v>#N/A</v>
      </c>
      <c r="J25" s="170" t="e">
        <f t="shared" ref="J25:J29" si="8">VLOOKUP(A25,$A$3:$L$17,10,FALSE)</f>
        <v>#N/A</v>
      </c>
      <c r="K25" s="44" t="e">
        <f t="shared" ref="K25:K29" si="9">VLOOKUP(A25,$A$5:$N$17,11,FALSE)</f>
        <v>#N/A</v>
      </c>
      <c r="L25" s="167" t="e">
        <f t="shared" ref="L25:L30" si="10">VLOOKUP(A25,$A$5:$N$17,12,FALSE)</f>
        <v>#N/A</v>
      </c>
      <c r="M25" s="81" t="e">
        <f>VLOOKUP(A25,$A$3:$N$17,13,FALSE)</f>
        <v>#N/A</v>
      </c>
      <c r="N25" s="80">
        <v>1</v>
      </c>
      <c r="O25" t="s">
        <v>143</v>
      </c>
      <c r="Q25" s="82" t="e">
        <f t="shared" ref="Q25:Q31" si="11">D25+H25+L25-M25</f>
        <v>#N/A</v>
      </c>
    </row>
    <row r="26" spans="1:17" outlineLevel="1" x14ac:dyDescent="0.3">
      <c r="A26" s="165" t="e">
        <f t="shared" si="5"/>
        <v>#N/A</v>
      </c>
      <c r="B26" s="43" t="e">
        <f t="shared" ref="B26:B30" si="12">VLOOKUP(A26,$A$4:$C$16,2,FALSE)</f>
        <v>#N/A</v>
      </c>
      <c r="C26" s="72" t="e">
        <f t="shared" ref="C26:C30" si="13">VLOOKUP(A26,$A$4:$C$16,3,FALSE)</f>
        <v>#N/A</v>
      </c>
      <c r="D26" s="171" t="e">
        <f t="shared" si="6"/>
        <v>#N/A</v>
      </c>
      <c r="E26" s="63" t="e">
        <f>VLOOKUP(A26,$A$3:$E$16,5,FALSE)</f>
        <v>#N/A</v>
      </c>
      <c r="F26" s="44" t="e">
        <f>VLOOKUP(A26,$A$3:$H$17,6,FALSE)</f>
        <v>#N/A</v>
      </c>
      <c r="G26" s="44" t="e">
        <f>VLOOKUP(A26,$A$3:$H$17,7,FALSE)</f>
        <v>#N/A</v>
      </c>
      <c r="H26" s="167" t="e">
        <f>VLOOKUP(A26,$A$3:$H$17,8,FALSE)</f>
        <v>#N/A</v>
      </c>
      <c r="I26" s="63" t="e">
        <f t="shared" si="7"/>
        <v>#N/A</v>
      </c>
      <c r="J26" s="170" t="e">
        <f t="shared" si="8"/>
        <v>#N/A</v>
      </c>
      <c r="K26" s="44" t="e">
        <f t="shared" si="9"/>
        <v>#N/A</v>
      </c>
      <c r="L26" s="167" t="e">
        <f t="shared" si="10"/>
        <v>#N/A</v>
      </c>
      <c r="M26" s="81" t="e">
        <f t="shared" ref="M26:M30" si="14">VLOOKUP(A26,$A$3:$N$17,13,FALSE)</f>
        <v>#N/A</v>
      </c>
      <c r="N26" s="80">
        <v>2</v>
      </c>
      <c r="Q26" s="82" t="e">
        <f t="shared" si="11"/>
        <v>#N/A</v>
      </c>
    </row>
    <row r="27" spans="1:17" x14ac:dyDescent="0.3">
      <c r="A27" s="165" t="e">
        <f t="shared" si="5"/>
        <v>#N/A</v>
      </c>
      <c r="B27" s="43" t="e">
        <f t="shared" si="12"/>
        <v>#N/A</v>
      </c>
      <c r="C27" s="72" t="e">
        <f t="shared" si="13"/>
        <v>#N/A</v>
      </c>
      <c r="D27" s="171" t="e">
        <f t="shared" si="6"/>
        <v>#N/A</v>
      </c>
      <c r="E27" s="63" t="e">
        <f t="shared" ref="E27:E30" si="15">VLOOKUP(A27,$A$3:$E$16,5,FALSE)</f>
        <v>#N/A</v>
      </c>
      <c r="F27" s="44" t="e">
        <f t="shared" ref="F27:F30" si="16">VLOOKUP(A27,$A$3:$H$17,6,FALSE)</f>
        <v>#N/A</v>
      </c>
      <c r="G27" s="44" t="e">
        <f t="shared" ref="G27:G28" si="17">VLOOKUP(A27,$A$3:$H$17,7,FALSE)</f>
        <v>#N/A</v>
      </c>
      <c r="H27" s="167" t="e">
        <f t="shared" ref="H27:H28" si="18">VLOOKUP(A27,$A$3:$H$17,8,FALSE)</f>
        <v>#N/A</v>
      </c>
      <c r="I27" s="63" t="e">
        <f t="shared" si="7"/>
        <v>#N/A</v>
      </c>
      <c r="J27" s="170" t="e">
        <f t="shared" si="8"/>
        <v>#N/A</v>
      </c>
      <c r="K27" s="44" t="e">
        <f t="shared" si="9"/>
        <v>#N/A</v>
      </c>
      <c r="L27" s="167" t="e">
        <f t="shared" si="10"/>
        <v>#N/A</v>
      </c>
      <c r="M27" s="81" t="e">
        <f t="shared" si="14"/>
        <v>#N/A</v>
      </c>
      <c r="N27" s="80">
        <v>3</v>
      </c>
      <c r="Q27" s="82" t="e">
        <f t="shared" si="11"/>
        <v>#N/A</v>
      </c>
    </row>
    <row r="28" spans="1:17" x14ac:dyDescent="0.3">
      <c r="A28" s="165" t="e">
        <f t="shared" si="5"/>
        <v>#N/A</v>
      </c>
      <c r="B28" s="43" t="e">
        <f t="shared" si="12"/>
        <v>#N/A</v>
      </c>
      <c r="C28" s="72" t="e">
        <f t="shared" si="13"/>
        <v>#N/A</v>
      </c>
      <c r="D28" s="171" t="e">
        <f t="shared" si="6"/>
        <v>#N/A</v>
      </c>
      <c r="E28" s="63" t="e">
        <f t="shared" si="15"/>
        <v>#N/A</v>
      </c>
      <c r="F28" s="44" t="e">
        <f t="shared" si="16"/>
        <v>#N/A</v>
      </c>
      <c r="G28" s="44" t="e">
        <f t="shared" si="17"/>
        <v>#N/A</v>
      </c>
      <c r="H28" s="167" t="e">
        <f t="shared" si="18"/>
        <v>#N/A</v>
      </c>
      <c r="I28" s="63" t="e">
        <f t="shared" si="7"/>
        <v>#N/A</v>
      </c>
      <c r="J28" s="170" t="e">
        <f t="shared" si="8"/>
        <v>#N/A</v>
      </c>
      <c r="K28" s="44" t="e">
        <f t="shared" si="9"/>
        <v>#N/A</v>
      </c>
      <c r="L28" s="167" t="e">
        <f t="shared" si="10"/>
        <v>#N/A</v>
      </c>
      <c r="M28" s="81" t="e">
        <f t="shared" si="14"/>
        <v>#N/A</v>
      </c>
      <c r="N28" s="80">
        <v>4</v>
      </c>
      <c r="Q28" s="82" t="e">
        <f t="shared" si="11"/>
        <v>#N/A</v>
      </c>
    </row>
    <row r="29" spans="1:17" x14ac:dyDescent="0.3">
      <c r="A29" s="165" t="e">
        <f t="shared" si="5"/>
        <v>#N/A</v>
      </c>
      <c r="B29" s="43" t="e">
        <f t="shared" si="12"/>
        <v>#N/A</v>
      </c>
      <c r="C29" s="72" t="e">
        <f t="shared" si="13"/>
        <v>#N/A</v>
      </c>
      <c r="D29" s="171" t="e">
        <f t="shared" si="6"/>
        <v>#N/A</v>
      </c>
      <c r="E29" s="63" t="e">
        <f t="shared" si="15"/>
        <v>#N/A</v>
      </c>
      <c r="F29" s="44" t="e">
        <f t="shared" si="16"/>
        <v>#N/A</v>
      </c>
      <c r="G29" s="44" t="e">
        <f t="shared" ref="G29:G30" si="19">VLOOKUP(A29,$A$3:$H$17,7,FALSE)</f>
        <v>#N/A</v>
      </c>
      <c r="H29" s="167" t="e">
        <f t="shared" ref="H29:H30" si="20">VLOOKUP(A29,$A$3:$H$17,8,FALSE)</f>
        <v>#N/A</v>
      </c>
      <c r="I29" s="63" t="e">
        <f t="shared" si="7"/>
        <v>#N/A</v>
      </c>
      <c r="J29" s="170" t="e">
        <f t="shared" si="8"/>
        <v>#N/A</v>
      </c>
      <c r="K29" s="44" t="e">
        <f t="shared" si="9"/>
        <v>#N/A</v>
      </c>
      <c r="L29" s="167" t="e">
        <f t="shared" si="10"/>
        <v>#N/A</v>
      </c>
      <c r="M29" s="81" t="e">
        <f t="shared" si="14"/>
        <v>#N/A</v>
      </c>
      <c r="N29" s="80">
        <v>5</v>
      </c>
      <c r="Q29" s="82" t="e">
        <f t="shared" si="11"/>
        <v>#N/A</v>
      </c>
    </row>
    <row r="30" spans="1:17" outlineLevel="1" x14ac:dyDescent="0.3">
      <c r="A30" s="165" t="e">
        <f t="shared" si="5"/>
        <v>#N/A</v>
      </c>
      <c r="B30" s="43" t="e">
        <f t="shared" si="12"/>
        <v>#N/A</v>
      </c>
      <c r="C30" s="72" t="e">
        <f t="shared" si="13"/>
        <v>#N/A</v>
      </c>
      <c r="D30" s="171" t="e">
        <f t="shared" si="6"/>
        <v>#N/A</v>
      </c>
      <c r="E30" s="63" t="e">
        <f t="shared" si="15"/>
        <v>#N/A</v>
      </c>
      <c r="F30" s="44" t="e">
        <f t="shared" si="16"/>
        <v>#N/A</v>
      </c>
      <c r="G30" s="44" t="e">
        <f t="shared" si="19"/>
        <v>#N/A</v>
      </c>
      <c r="H30" s="167" t="e">
        <f t="shared" si="20"/>
        <v>#N/A</v>
      </c>
      <c r="I30" s="63" t="e">
        <f t="shared" ref="I30" si="21">VLOOKUP(A30,$A$3:$L$17,9,FALSE)</f>
        <v>#N/A</v>
      </c>
      <c r="J30" s="170" t="e">
        <f t="shared" ref="J30" si="22">VLOOKUP(A30,$A$3:$L$17,10,FALSE)</f>
        <v>#N/A</v>
      </c>
      <c r="K30" s="44" t="e">
        <f t="shared" ref="K30" si="23">VLOOKUP(A30,$A$5:$N$17,11,FALSE)</f>
        <v>#N/A</v>
      </c>
      <c r="L30" s="199" t="e">
        <f t="shared" si="10"/>
        <v>#N/A</v>
      </c>
      <c r="M30" s="81" t="e">
        <f t="shared" si="14"/>
        <v>#N/A</v>
      </c>
      <c r="N30" s="80">
        <v>6</v>
      </c>
      <c r="Q30" s="82" t="e">
        <f t="shared" si="11"/>
        <v>#N/A</v>
      </c>
    </row>
    <row r="31" spans="1:17" ht="15" thickBot="1" x14ac:dyDescent="0.35">
      <c r="A31" s="73"/>
      <c r="B31" s="74"/>
      <c r="C31" s="75"/>
      <c r="D31" s="172"/>
      <c r="E31" s="52"/>
      <c r="F31" s="54"/>
      <c r="G31" s="54"/>
      <c r="H31" s="168"/>
      <c r="I31" s="61"/>
      <c r="J31" s="54"/>
      <c r="K31" s="54"/>
      <c r="L31" s="168"/>
      <c r="M31" s="62"/>
      <c r="N31" s="70"/>
      <c r="Q31" s="82">
        <f t="shared" si="11"/>
        <v>0</v>
      </c>
    </row>
    <row r="33" spans="1:1" x14ac:dyDescent="0.3">
      <c r="A33" t="s">
        <v>172</v>
      </c>
    </row>
  </sheetData>
  <mergeCells count="4">
    <mergeCell ref="I19:L19"/>
    <mergeCell ref="M19:N19"/>
    <mergeCell ref="A21:C22"/>
    <mergeCell ref="E19:H19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"/>
  <sheetViews>
    <sheetView zoomScale="80" zoomScaleNormal="80" workbookViewId="0">
      <selection activeCell="H23" sqref="H23"/>
    </sheetView>
  </sheetViews>
  <sheetFormatPr defaultColWidth="9.109375" defaultRowHeight="14.4" outlineLevelRow="1" outlineLevelCol="1" x14ac:dyDescent="0.3"/>
  <cols>
    <col min="1" max="1" width="19.88671875" customWidth="1"/>
    <col min="2" max="2" width="17" bestFit="1" customWidth="1"/>
    <col min="3" max="3" width="17" customWidth="1"/>
    <col min="4" max="4" width="17.44140625" bestFit="1" customWidth="1"/>
    <col min="5" max="5" width="16.88671875" customWidth="1"/>
    <col min="6" max="9" width="10" customWidth="1"/>
    <col min="10" max="10" width="4.44140625" customWidth="1"/>
    <col min="11" max="11" width="8.88671875" bestFit="1" customWidth="1"/>
    <col min="12" max="12" width="9.109375" bestFit="1" customWidth="1"/>
    <col min="13" max="13" width="8.88671875" bestFit="1" customWidth="1"/>
    <col min="14" max="14" width="9.33203125" bestFit="1" customWidth="1"/>
    <col min="15" max="15" width="11.44140625" bestFit="1" customWidth="1"/>
    <col min="16" max="16" width="8.88671875" bestFit="1" customWidth="1"/>
    <col min="17" max="17" width="12" customWidth="1"/>
    <col min="18" max="18" width="4.44140625" customWidth="1"/>
    <col min="19" max="19" width="9.5546875" bestFit="1" customWidth="1"/>
    <col min="21" max="21" width="11.5546875" customWidth="1" outlineLevel="1"/>
  </cols>
  <sheetData>
    <row r="1" spans="1:19" ht="18" x14ac:dyDescent="0.35">
      <c r="A1" s="4" t="str">
        <f>CONCATENATE("STADIUM: ",'Order of Go &amp; Master Sheet'!$G$1)</f>
        <v>STADIUM: Pre-Entry (.75m)</v>
      </c>
    </row>
    <row r="2" spans="1:19" x14ac:dyDescent="0.3">
      <c r="P2" s="11"/>
      <c r="S2" s="11"/>
    </row>
    <row r="3" spans="1:19" x14ac:dyDescent="0.3">
      <c r="A3" s="3" t="s">
        <v>12</v>
      </c>
      <c r="B3" s="3" t="str">
        <f>CONCATENATE(B4,":",B5)</f>
        <v>1:24</v>
      </c>
    </row>
    <row r="4" spans="1:19" outlineLevel="1" x14ac:dyDescent="0.3">
      <c r="A4" t="s">
        <v>13</v>
      </c>
      <c r="B4" s="8">
        <v>1</v>
      </c>
    </row>
    <row r="5" spans="1:19" outlineLevel="1" x14ac:dyDescent="0.3">
      <c r="A5" t="s">
        <v>14</v>
      </c>
      <c r="B5" s="8">
        <v>24</v>
      </c>
    </row>
    <row r="6" spans="1:19" outlineLevel="1" x14ac:dyDescent="0.3">
      <c r="A6" t="s">
        <v>16</v>
      </c>
      <c r="B6" s="9">
        <f>(B4*60)+B5</f>
        <v>84</v>
      </c>
      <c r="D6" t="s">
        <v>70</v>
      </c>
      <c r="F6" s="10"/>
    </row>
    <row r="7" spans="1:19" x14ac:dyDescent="0.3">
      <c r="A7" s="3" t="s">
        <v>86</v>
      </c>
      <c r="B7" s="3" t="str">
        <f>CONCATENATE(C8,":",C9)</f>
        <v>2:48</v>
      </c>
      <c r="F7" s="10"/>
    </row>
    <row r="8" spans="1:19" outlineLevel="1" x14ac:dyDescent="0.3">
      <c r="B8" t="s">
        <v>13</v>
      </c>
      <c r="C8" s="5">
        <f>ROUNDDOWN(C10/60,0)</f>
        <v>2</v>
      </c>
      <c r="F8" s="10"/>
    </row>
    <row r="9" spans="1:19" outlineLevel="1" x14ac:dyDescent="0.3">
      <c r="B9" t="s">
        <v>14</v>
      </c>
      <c r="C9" s="88">
        <f>C10-(C8*60)</f>
        <v>48</v>
      </c>
      <c r="F9" s="10"/>
    </row>
    <row r="10" spans="1:19" outlineLevel="1" x14ac:dyDescent="0.3">
      <c r="B10" t="s">
        <v>16</v>
      </c>
      <c r="C10" s="9">
        <f>B6*2</f>
        <v>168</v>
      </c>
      <c r="D10" t="s">
        <v>71</v>
      </c>
      <c r="F10" s="10"/>
    </row>
    <row r="11" spans="1:19" ht="15.6" x14ac:dyDescent="0.3">
      <c r="A11" s="108" t="s">
        <v>136</v>
      </c>
      <c r="B11" s="10"/>
      <c r="F11" s="10"/>
    </row>
    <row r="12" spans="1:19" outlineLevel="1" x14ac:dyDescent="0.3">
      <c r="A12" t="s">
        <v>25</v>
      </c>
      <c r="B12" s="12">
        <v>0.4</v>
      </c>
      <c r="C12" t="s">
        <v>72</v>
      </c>
      <c r="D12" t="s">
        <v>51</v>
      </c>
    </row>
    <row r="13" spans="1:19" outlineLevel="1" x14ac:dyDescent="0.3">
      <c r="A13" t="s">
        <v>27</v>
      </c>
      <c r="B13">
        <v>4</v>
      </c>
      <c r="D13" t="s">
        <v>28</v>
      </c>
    </row>
    <row r="14" spans="1:19" outlineLevel="1" x14ac:dyDescent="0.3">
      <c r="A14" t="s">
        <v>68</v>
      </c>
      <c r="B14">
        <v>4</v>
      </c>
      <c r="D14" t="s">
        <v>29</v>
      </c>
    </row>
    <row r="15" spans="1:19" outlineLevel="1" x14ac:dyDescent="0.3">
      <c r="A15" t="s">
        <v>69</v>
      </c>
      <c r="B15">
        <v>8</v>
      </c>
      <c r="D15" t="s">
        <v>30</v>
      </c>
    </row>
    <row r="16" spans="1:19" outlineLevel="1" x14ac:dyDescent="0.3">
      <c r="A16" t="s">
        <v>245</v>
      </c>
      <c r="B16" t="s">
        <v>11</v>
      </c>
    </row>
    <row r="17" spans="1:21" ht="15" thickBot="1" x14ac:dyDescent="0.35"/>
    <row r="18" spans="1:21" ht="15.6" x14ac:dyDescent="0.3">
      <c r="A18" s="13" t="s">
        <v>35</v>
      </c>
      <c r="B18" s="13" t="s">
        <v>5</v>
      </c>
      <c r="C18" s="13" t="s">
        <v>6</v>
      </c>
      <c r="D18" s="13" t="s">
        <v>2</v>
      </c>
      <c r="E18" s="13" t="s">
        <v>2</v>
      </c>
      <c r="F18" s="116" t="s">
        <v>137</v>
      </c>
      <c r="G18" s="155" t="s">
        <v>137</v>
      </c>
      <c r="H18" s="155" t="s">
        <v>2</v>
      </c>
      <c r="I18" s="156" t="s">
        <v>92</v>
      </c>
      <c r="J18" s="13"/>
      <c r="K18" s="116" t="s">
        <v>2</v>
      </c>
      <c r="L18" s="155" t="s">
        <v>2</v>
      </c>
      <c r="M18" s="155" t="s">
        <v>2</v>
      </c>
      <c r="N18" s="155" t="s">
        <v>2</v>
      </c>
      <c r="O18" s="155" t="s">
        <v>2</v>
      </c>
      <c r="P18" s="155" t="s">
        <v>2</v>
      </c>
      <c r="Q18" s="160" t="s">
        <v>140</v>
      </c>
      <c r="R18" s="13"/>
      <c r="S18" s="205" t="s">
        <v>17</v>
      </c>
    </row>
    <row r="19" spans="1:21" ht="16.2" thickBot="1" x14ac:dyDescent="0.35">
      <c r="A19" s="13" t="s">
        <v>36</v>
      </c>
      <c r="B19" s="13"/>
      <c r="C19" s="13"/>
      <c r="D19" s="13" t="s">
        <v>13</v>
      </c>
      <c r="E19" s="13" t="s">
        <v>14</v>
      </c>
      <c r="F19" s="157" t="s">
        <v>92</v>
      </c>
      <c r="G19" s="158" t="s">
        <v>138</v>
      </c>
      <c r="H19" s="158" t="s">
        <v>15</v>
      </c>
      <c r="I19" s="159" t="s">
        <v>139</v>
      </c>
      <c r="J19" s="13"/>
      <c r="K19" s="161" t="s">
        <v>19</v>
      </c>
      <c r="L19" s="158" t="s">
        <v>21</v>
      </c>
      <c r="M19" s="162" t="s">
        <v>20</v>
      </c>
      <c r="N19" s="158" t="s">
        <v>22</v>
      </c>
      <c r="O19" s="162" t="s">
        <v>50</v>
      </c>
      <c r="P19" s="158" t="s">
        <v>23</v>
      </c>
      <c r="Q19" s="163" t="s">
        <v>139</v>
      </c>
      <c r="R19" s="13"/>
      <c r="S19" s="206" t="s">
        <v>8</v>
      </c>
    </row>
    <row r="20" spans="1:21" ht="15.6" x14ac:dyDescent="0.3">
      <c r="A20" s="31">
        <v>70</v>
      </c>
      <c r="B20" s="14" t="str">
        <f>VLOOKUP($A20,'Order of Go &amp; Master Sheet'!$A:$C,2,FALSE)</f>
        <v>Lavender Woodman</v>
      </c>
      <c r="C20" s="14" t="str">
        <f>VLOOKUP($A20,'Order of Go &amp; Master Sheet'!$A:$C,3,FALSE)</f>
        <v>Watson's Cydney</v>
      </c>
      <c r="D20" s="15">
        <v>1</v>
      </c>
      <c r="E20" s="154">
        <v>6</v>
      </c>
      <c r="F20" s="111" t="str">
        <f t="shared" ref="F20:F26" si="0">CONCATENATE(D20,":",E20)</f>
        <v>1:6</v>
      </c>
      <c r="G20" s="32">
        <f t="shared" ref="G20:G26" si="1">(D20*60)+E20</f>
        <v>66</v>
      </c>
      <c r="H20" s="21">
        <f t="shared" ref="H20:H26" si="2">G20-$B$6</f>
        <v>-18</v>
      </c>
      <c r="I20" s="110">
        <f t="shared" ref="I20:I26" si="3">IF(H20&lt;0,0,H20*$B$12)</f>
        <v>0</v>
      </c>
      <c r="J20" s="30"/>
      <c r="K20" s="117">
        <v>0</v>
      </c>
      <c r="L20" s="26">
        <f t="shared" ref="L20:L26" si="4">K20*$B$13</f>
        <v>0</v>
      </c>
      <c r="M20" s="25">
        <v>0</v>
      </c>
      <c r="N20" s="27">
        <f>IF((M20&gt;2),"E",M20*$B$14)</f>
        <v>0</v>
      </c>
      <c r="O20" s="25">
        <v>0</v>
      </c>
      <c r="P20" s="28">
        <f>IF(O20=0,0,"E")</f>
        <v>0</v>
      </c>
      <c r="Q20" s="109">
        <f t="shared" ref="Q20:Q26" si="5">IF(N20="E","E",IF(P20="E","E",L20+N20))</f>
        <v>0</v>
      </c>
      <c r="R20" s="30"/>
      <c r="S20" s="123">
        <f t="shared" ref="S20:S26" si="6">I20+Q20</f>
        <v>0</v>
      </c>
    </row>
    <row r="21" spans="1:21" ht="15.6" x14ac:dyDescent="0.3">
      <c r="A21" s="84">
        <v>51</v>
      </c>
      <c r="B21" s="14" t="str">
        <f>VLOOKUP($A21,'Order of Go &amp; Master Sheet'!$A:$C,2,FALSE)</f>
        <v>Faith Stuart</v>
      </c>
      <c r="C21" s="14" t="str">
        <f>VLOOKUP($A21,'Order of Go &amp; Master Sheet'!$A:$C,3,FALSE)</f>
        <v>Fix It Felix</v>
      </c>
      <c r="D21" s="15">
        <v>0</v>
      </c>
      <c r="E21" s="15">
        <v>0</v>
      </c>
      <c r="F21" s="111" t="str">
        <f t="shared" si="0"/>
        <v>0:0</v>
      </c>
      <c r="G21" s="32">
        <f t="shared" si="1"/>
        <v>0</v>
      </c>
      <c r="H21" s="21">
        <f t="shared" si="2"/>
        <v>-84</v>
      </c>
      <c r="I21" s="110">
        <f t="shared" si="3"/>
        <v>0</v>
      </c>
      <c r="J21" s="30"/>
      <c r="K21" s="117"/>
      <c r="L21" s="26">
        <f t="shared" si="4"/>
        <v>0</v>
      </c>
      <c r="M21" s="25"/>
      <c r="N21" s="27">
        <f t="shared" ref="N21:N26" si="7">IF((M21&gt;2),"E",M21*$B$14)</f>
        <v>0</v>
      </c>
      <c r="O21" s="25">
        <v>0</v>
      </c>
      <c r="P21" s="28" t="s">
        <v>11</v>
      </c>
      <c r="Q21" s="109" t="str">
        <f t="shared" si="5"/>
        <v>E</v>
      </c>
      <c r="R21" s="30"/>
      <c r="S21" s="123" t="s">
        <v>11</v>
      </c>
    </row>
    <row r="22" spans="1:21" ht="15.6" x14ac:dyDescent="0.3">
      <c r="A22" s="31">
        <v>41</v>
      </c>
      <c r="B22" s="14" t="str">
        <f>VLOOKUP($A22,'Order of Go &amp; Master Sheet'!$A:$C,2,FALSE)</f>
        <v>Celine Branconnier</v>
      </c>
      <c r="C22" s="14" t="str">
        <f>VLOOKUP($A22,'Order of Go &amp; Master Sheet'!$A:$C,3,FALSE)</f>
        <v>Whiley Coyote</v>
      </c>
      <c r="D22" s="15">
        <v>1</v>
      </c>
      <c r="E22" s="154">
        <v>17</v>
      </c>
      <c r="F22" s="111" t="str">
        <f t="shared" si="0"/>
        <v>1:17</v>
      </c>
      <c r="G22" s="32">
        <f t="shared" si="1"/>
        <v>77</v>
      </c>
      <c r="H22" s="21">
        <f t="shared" si="2"/>
        <v>-7</v>
      </c>
      <c r="I22" s="110">
        <f t="shared" si="3"/>
        <v>0</v>
      </c>
      <c r="J22" s="30"/>
      <c r="K22" s="117">
        <v>2</v>
      </c>
      <c r="L22" s="26">
        <f t="shared" si="4"/>
        <v>8</v>
      </c>
      <c r="M22" s="25"/>
      <c r="N22" s="27">
        <f t="shared" si="7"/>
        <v>0</v>
      </c>
      <c r="O22" s="25">
        <v>0</v>
      </c>
      <c r="P22" s="28">
        <f t="shared" ref="P22:P26" si="8">IF(O22=0,0,"E")</f>
        <v>0</v>
      </c>
      <c r="Q22" s="109">
        <f t="shared" si="5"/>
        <v>8</v>
      </c>
      <c r="R22" s="30"/>
      <c r="S22" s="123">
        <f t="shared" si="6"/>
        <v>8</v>
      </c>
    </row>
    <row r="23" spans="1:21" ht="15.6" x14ac:dyDescent="0.3">
      <c r="A23" s="31"/>
      <c r="B23" s="14" t="e">
        <f>VLOOKUP($A23,'Order of Go &amp; Master Sheet'!$A:$C,2,FALSE)</f>
        <v>#N/A</v>
      </c>
      <c r="C23" s="14" t="e">
        <f>VLOOKUP($A23,'Order of Go &amp; Master Sheet'!$A:$C,3,FALSE)</f>
        <v>#N/A</v>
      </c>
      <c r="D23" s="15"/>
      <c r="E23" s="154"/>
      <c r="F23" s="111" t="str">
        <f t="shared" si="0"/>
        <v>:</v>
      </c>
      <c r="G23" s="32">
        <f t="shared" si="1"/>
        <v>0</v>
      </c>
      <c r="H23" s="21">
        <f t="shared" si="2"/>
        <v>-84</v>
      </c>
      <c r="I23" s="110">
        <f t="shared" si="3"/>
        <v>0</v>
      </c>
      <c r="J23" s="30"/>
      <c r="K23" s="117"/>
      <c r="L23" s="26">
        <f t="shared" si="4"/>
        <v>0</v>
      </c>
      <c r="M23" s="25"/>
      <c r="N23" s="27">
        <f t="shared" si="7"/>
        <v>0</v>
      </c>
      <c r="O23" s="25">
        <v>0</v>
      </c>
      <c r="P23" s="28">
        <f t="shared" si="8"/>
        <v>0</v>
      </c>
      <c r="Q23" s="109">
        <f t="shared" si="5"/>
        <v>0</v>
      </c>
      <c r="R23" s="30"/>
      <c r="S23" s="123">
        <f t="shared" si="6"/>
        <v>0</v>
      </c>
    </row>
    <row r="24" spans="1:21" ht="15.6" x14ac:dyDescent="0.3">
      <c r="A24" s="31"/>
      <c r="B24" s="14" t="e">
        <f>VLOOKUP($A24,'Order of Go &amp; Master Sheet'!$A:$C,2,FALSE)</f>
        <v>#N/A</v>
      </c>
      <c r="C24" s="14" t="e">
        <f>VLOOKUP($A24,'Order of Go &amp; Master Sheet'!$A:$C,3,FALSE)</f>
        <v>#N/A</v>
      </c>
      <c r="D24" s="15"/>
      <c r="E24" s="15"/>
      <c r="F24" s="111" t="str">
        <f t="shared" si="0"/>
        <v>:</v>
      </c>
      <c r="G24" s="32">
        <f t="shared" si="1"/>
        <v>0</v>
      </c>
      <c r="H24" s="21">
        <f t="shared" si="2"/>
        <v>-84</v>
      </c>
      <c r="I24" s="110">
        <f t="shared" si="3"/>
        <v>0</v>
      </c>
      <c r="J24" s="30"/>
      <c r="K24" s="117"/>
      <c r="L24" s="26">
        <f t="shared" si="4"/>
        <v>0</v>
      </c>
      <c r="M24" s="25"/>
      <c r="N24" s="27">
        <f t="shared" si="7"/>
        <v>0</v>
      </c>
      <c r="O24" s="25">
        <v>0</v>
      </c>
      <c r="P24" s="28">
        <f t="shared" si="8"/>
        <v>0</v>
      </c>
      <c r="Q24" s="109">
        <f t="shared" si="5"/>
        <v>0</v>
      </c>
      <c r="R24" s="30"/>
      <c r="S24" s="123">
        <f t="shared" si="6"/>
        <v>0</v>
      </c>
    </row>
    <row r="25" spans="1:21" ht="15.6" x14ac:dyDescent="0.3">
      <c r="A25" s="31"/>
      <c r="B25" s="14" t="e">
        <f>VLOOKUP($A25,'Order of Go &amp; Master Sheet'!$A:$C,2,FALSE)</f>
        <v>#N/A</v>
      </c>
      <c r="C25" s="14" t="e">
        <f>VLOOKUP($A25,'Order of Go &amp; Master Sheet'!$A:$C,3,FALSE)</f>
        <v>#N/A</v>
      </c>
      <c r="D25" s="15"/>
      <c r="E25" s="154"/>
      <c r="F25" s="111" t="str">
        <f t="shared" si="0"/>
        <v>:</v>
      </c>
      <c r="G25" s="32">
        <f t="shared" si="1"/>
        <v>0</v>
      </c>
      <c r="H25" s="21">
        <f t="shared" si="2"/>
        <v>-84</v>
      </c>
      <c r="I25" s="110">
        <f t="shared" si="3"/>
        <v>0</v>
      </c>
      <c r="J25" s="30"/>
      <c r="K25" s="117"/>
      <c r="L25" s="26">
        <f t="shared" si="4"/>
        <v>0</v>
      </c>
      <c r="M25" s="25"/>
      <c r="N25" s="27">
        <f t="shared" si="7"/>
        <v>0</v>
      </c>
      <c r="O25" s="25">
        <v>0</v>
      </c>
      <c r="P25" s="28">
        <f t="shared" si="8"/>
        <v>0</v>
      </c>
      <c r="Q25" s="109">
        <f t="shared" si="5"/>
        <v>0</v>
      </c>
      <c r="R25" s="30"/>
      <c r="S25" s="123">
        <f t="shared" si="6"/>
        <v>0</v>
      </c>
    </row>
    <row r="26" spans="1:21" ht="16.2" thickBot="1" x14ac:dyDescent="0.35">
      <c r="A26" s="84"/>
      <c r="B26" s="14" t="e">
        <f>VLOOKUP($A26,'Order of Go &amp; Master Sheet'!$A:$C,2,FALSE)</f>
        <v>#N/A</v>
      </c>
      <c r="C26" s="14" t="e">
        <f>VLOOKUP($A26,'Order of Go &amp; Master Sheet'!$A:$C,3,FALSE)</f>
        <v>#N/A</v>
      </c>
      <c r="D26" s="15"/>
      <c r="E26" s="15"/>
      <c r="F26" s="112" t="str">
        <f t="shared" si="0"/>
        <v>:</v>
      </c>
      <c r="G26" s="113">
        <f t="shared" si="1"/>
        <v>0</v>
      </c>
      <c r="H26" s="114">
        <f t="shared" si="2"/>
        <v>-84</v>
      </c>
      <c r="I26" s="115">
        <f t="shared" si="3"/>
        <v>0</v>
      </c>
      <c r="J26" s="30"/>
      <c r="K26" s="118"/>
      <c r="L26" s="119">
        <f t="shared" si="4"/>
        <v>0</v>
      </c>
      <c r="M26" s="120"/>
      <c r="N26" s="27">
        <f t="shared" si="7"/>
        <v>0</v>
      </c>
      <c r="O26" s="120">
        <v>0</v>
      </c>
      <c r="P26" s="121">
        <f t="shared" si="8"/>
        <v>0</v>
      </c>
      <c r="Q26" s="122">
        <f t="shared" si="5"/>
        <v>0</v>
      </c>
      <c r="R26" s="30"/>
      <c r="S26" s="124">
        <f t="shared" si="6"/>
        <v>0</v>
      </c>
    </row>
    <row r="27" spans="1:21" ht="15.6" x14ac:dyDescent="0.3">
      <c r="U27" s="29"/>
    </row>
  </sheetData>
  <conditionalFormatting sqref="P20:P26 N20:N26">
    <cfRule type="cellIs" dxfId="12" priority="3" operator="equal">
      <formula>"E"</formula>
    </cfRule>
  </conditionalFormatting>
  <conditionalFormatting sqref="Q20:Q26">
    <cfRule type="cellIs" dxfId="11" priority="2" operator="equal">
      <formula>"E"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topLeftCell="A14" zoomScale="80" zoomScaleNormal="80" workbookViewId="0">
      <selection activeCell="H33" sqref="H33"/>
    </sheetView>
  </sheetViews>
  <sheetFormatPr defaultColWidth="9.109375" defaultRowHeight="14.4" outlineLevelRow="1" outlineLevelCol="1" x14ac:dyDescent="0.3"/>
  <cols>
    <col min="1" max="1" width="20.6640625" customWidth="1"/>
    <col min="2" max="2" width="20.6640625" bestFit="1" customWidth="1"/>
    <col min="3" max="3" width="12.88671875" customWidth="1"/>
    <col min="4" max="4" width="22.44140625" customWidth="1"/>
    <col min="5" max="5" width="18.44140625" customWidth="1"/>
    <col min="6" max="10" width="10.6640625" customWidth="1" outlineLevel="1"/>
    <col min="11" max="12" width="10.6640625" customWidth="1"/>
    <col min="13" max="14" width="10.88671875" customWidth="1" outlineLevel="1"/>
    <col min="15" max="15" width="16.109375" customWidth="1" outlineLevel="1"/>
    <col min="16" max="16" width="12.109375" customWidth="1" outlineLevel="1"/>
    <col min="17" max="18" width="12.33203125" customWidth="1"/>
    <col min="19" max="19" width="12.88671875" customWidth="1"/>
  </cols>
  <sheetData>
    <row r="1" spans="1:6" ht="18" x14ac:dyDescent="0.35">
      <c r="A1" s="4" t="s">
        <v>135</v>
      </c>
    </row>
    <row r="3" spans="1:6" x14ac:dyDescent="0.3">
      <c r="A3" s="3" t="s">
        <v>47</v>
      </c>
      <c r="B3" s="3" t="str">
        <f>CONCATENATE(C7,":",C8)</f>
        <v>5:11</v>
      </c>
    </row>
    <row r="4" spans="1:6" x14ac:dyDescent="0.3">
      <c r="A4" s="3"/>
      <c r="B4" t="s">
        <v>170</v>
      </c>
      <c r="C4" s="7">
        <f>'Order of Go &amp; Master Sheet'!G5</f>
        <v>1685</v>
      </c>
    </row>
    <row r="5" spans="1:6" x14ac:dyDescent="0.3">
      <c r="A5" s="3"/>
      <c r="B5" t="s">
        <v>171</v>
      </c>
      <c r="C5">
        <f>'Order of Go &amp; Master Sheet'!G6</f>
        <v>325</v>
      </c>
    </row>
    <row r="6" spans="1:6" x14ac:dyDescent="0.3">
      <c r="A6" s="3"/>
      <c r="B6" t="s">
        <v>120</v>
      </c>
      <c r="C6" s="93">
        <f>C4/C5</f>
        <v>5.1846153846153848</v>
      </c>
    </row>
    <row r="7" spans="1:6" outlineLevel="1" x14ac:dyDescent="0.3">
      <c r="B7" t="s">
        <v>13</v>
      </c>
      <c r="C7" s="197" t="str">
        <f>LEFT(C6,1)</f>
        <v>5</v>
      </c>
      <c r="D7" s="82">
        <f>C6-C7</f>
        <v>0.18461538461538485</v>
      </c>
      <c r="E7" s="82">
        <f>D7*60</f>
        <v>11.076923076923091</v>
      </c>
    </row>
    <row r="8" spans="1:6" outlineLevel="1" x14ac:dyDescent="0.3">
      <c r="B8" t="s">
        <v>14</v>
      </c>
      <c r="C8" s="88">
        <f>ROUND((C6-C7)*60,0)</f>
        <v>11</v>
      </c>
    </row>
    <row r="9" spans="1:6" outlineLevel="1" x14ac:dyDescent="0.3">
      <c r="B9" t="s">
        <v>16</v>
      </c>
      <c r="C9" s="9">
        <f>(C7*60)+C8</f>
        <v>311</v>
      </c>
      <c r="F9" s="10"/>
    </row>
    <row r="10" spans="1:6" outlineLevel="1" x14ac:dyDescent="0.3"/>
    <row r="11" spans="1:6" x14ac:dyDescent="0.3">
      <c r="A11" s="3" t="s">
        <v>125</v>
      </c>
      <c r="B11" s="3" t="str">
        <f>CONCATENATE(C15,":",ROUNDDOWN(C16,0))</f>
        <v>4:49</v>
      </c>
    </row>
    <row r="12" spans="1:6" outlineLevel="1" x14ac:dyDescent="0.3">
      <c r="B12" t="s">
        <v>162</v>
      </c>
      <c r="C12" s="5">
        <f>'Order of Go &amp; Master Sheet'!G7</f>
        <v>350</v>
      </c>
      <c r="D12" t="s">
        <v>123</v>
      </c>
    </row>
    <row r="13" spans="1:6" outlineLevel="1" x14ac:dyDescent="0.3">
      <c r="B13" t="s">
        <v>119</v>
      </c>
      <c r="C13" s="88">
        <f>'Order of Go &amp; Master Sheet'!G5</f>
        <v>1685</v>
      </c>
      <c r="D13" t="s">
        <v>124</v>
      </c>
    </row>
    <row r="14" spans="1:6" outlineLevel="1" x14ac:dyDescent="0.3">
      <c r="B14" t="s">
        <v>120</v>
      </c>
      <c r="C14" s="93">
        <f>C13/C12</f>
        <v>4.8142857142857141</v>
      </c>
    </row>
    <row r="15" spans="1:6" outlineLevel="1" x14ac:dyDescent="0.3">
      <c r="B15" t="s">
        <v>121</v>
      </c>
      <c r="C15" s="196" t="str">
        <f>LEFT(C14,1)</f>
        <v>4</v>
      </c>
    </row>
    <row r="16" spans="1:6" outlineLevel="1" x14ac:dyDescent="0.3">
      <c r="B16" t="s">
        <v>122</v>
      </c>
      <c r="C16" s="152">
        <f>ROUND((C14-C15)*60,0)</f>
        <v>49</v>
      </c>
    </row>
    <row r="17" spans="1:17" outlineLevel="1" x14ac:dyDescent="0.3">
      <c r="B17" t="s">
        <v>150</v>
      </c>
      <c r="C17" s="198">
        <f>ROUND(C14*60,0)</f>
        <v>289</v>
      </c>
    </row>
    <row r="18" spans="1:17" outlineLevel="1" x14ac:dyDescent="0.3">
      <c r="B18" s="3"/>
    </row>
    <row r="19" spans="1:17" x14ac:dyDescent="0.3">
      <c r="A19" s="3" t="s">
        <v>86</v>
      </c>
      <c r="B19" s="3" t="str">
        <f>CONCATENATE(C20,":",C21)</f>
        <v>10:22</v>
      </c>
    </row>
    <row r="20" spans="1:17" outlineLevel="1" x14ac:dyDescent="0.3">
      <c r="B20" t="s">
        <v>13</v>
      </c>
      <c r="C20" s="5">
        <f>ROUNDDOWN(C22/60,0)</f>
        <v>10</v>
      </c>
      <c r="D20" t="s">
        <v>87</v>
      </c>
    </row>
    <row r="21" spans="1:17" outlineLevel="1" x14ac:dyDescent="0.3">
      <c r="B21" t="s">
        <v>14</v>
      </c>
      <c r="C21" s="88">
        <f>C22-(60*C20)</f>
        <v>22</v>
      </c>
      <c r="D21" s="3" t="s">
        <v>88</v>
      </c>
    </row>
    <row r="22" spans="1:17" outlineLevel="1" x14ac:dyDescent="0.3">
      <c r="B22" t="s">
        <v>16</v>
      </c>
      <c r="C22" s="9">
        <f>C9*2</f>
        <v>622</v>
      </c>
      <c r="D22" s="87" t="s">
        <v>118</v>
      </c>
    </row>
    <row r="24" spans="1:17" x14ac:dyDescent="0.3">
      <c r="A24" s="3" t="s">
        <v>67</v>
      </c>
    </row>
    <row r="25" spans="1:17" x14ac:dyDescent="0.3">
      <c r="A25" t="s">
        <v>66</v>
      </c>
      <c r="B25" s="12">
        <v>0.4</v>
      </c>
      <c r="D25" t="s">
        <v>26</v>
      </c>
    </row>
    <row r="26" spans="1:17" ht="15.6" x14ac:dyDescent="0.3">
      <c r="A26" t="s">
        <v>89</v>
      </c>
      <c r="B26" s="76">
        <v>1</v>
      </c>
      <c r="C26" s="13"/>
      <c r="D26" t="s">
        <v>78</v>
      </c>
    </row>
    <row r="27" spans="1:17" ht="15" thickBot="1" x14ac:dyDescent="0.35"/>
    <row r="28" spans="1:17" s="94" customFormat="1" ht="43.8" thickBot="1" x14ac:dyDescent="0.35">
      <c r="A28" s="104" t="s">
        <v>36</v>
      </c>
      <c r="B28" s="104" t="s">
        <v>5</v>
      </c>
      <c r="C28" s="104" t="s">
        <v>6</v>
      </c>
      <c r="D28" s="104" t="s">
        <v>90</v>
      </c>
      <c r="E28" s="104" t="s">
        <v>91</v>
      </c>
      <c r="F28" s="104" t="s">
        <v>126</v>
      </c>
      <c r="G28" s="104" t="s">
        <v>13</v>
      </c>
      <c r="H28" s="104" t="s">
        <v>14</v>
      </c>
      <c r="I28" s="125" t="s">
        <v>24</v>
      </c>
      <c r="J28" s="104" t="s">
        <v>18</v>
      </c>
      <c r="K28" s="104" t="s">
        <v>48</v>
      </c>
      <c r="L28" s="104" t="s">
        <v>151</v>
      </c>
      <c r="M28" s="104" t="s">
        <v>49</v>
      </c>
      <c r="N28" s="104" t="s">
        <v>127</v>
      </c>
      <c r="O28" s="125" t="s">
        <v>141</v>
      </c>
      <c r="P28" s="125" t="s">
        <v>61</v>
      </c>
      <c r="Q28" s="126" t="s">
        <v>42</v>
      </c>
    </row>
    <row r="29" spans="1:17" x14ac:dyDescent="0.3">
      <c r="A29" s="14">
        <v>70</v>
      </c>
      <c r="B29" s="14" t="str">
        <f>VLOOKUP(A29,'Order of Go &amp; Master Sheet'!$A:$D,2,FALSE)</f>
        <v>Lavender Woodman</v>
      </c>
      <c r="C29" s="14" t="str">
        <f>VLOOKUP(A29,'Order of Go &amp; Master Sheet'!$A:$D,3,FALSE)</f>
        <v>Watson's Cydney</v>
      </c>
      <c r="D29" s="96">
        <v>9.1689814814814807E-2</v>
      </c>
      <c r="E29" s="96">
        <v>9.5011574074074068E-2</v>
      </c>
      <c r="F29" s="95">
        <f t="shared" ref="F29:F39" si="0">E29-D29</f>
        <v>3.3217592592592604E-3</v>
      </c>
      <c r="G29" s="99">
        <v>4</v>
      </c>
      <c r="H29" s="151">
        <v>47</v>
      </c>
      <c r="I29" s="127" t="str">
        <f>CONCATENATE(G29,":",H29)</f>
        <v>4:47</v>
      </c>
      <c r="J29" s="7">
        <f>(G29*60)+H29</f>
        <v>287</v>
      </c>
      <c r="K29" s="7">
        <f>IF(D29+E29+G29+H29=0,0,J29-$C$9)</f>
        <v>-24</v>
      </c>
      <c r="L29" s="7">
        <f>IF(D29+E29+G29+H29=0,0,J29-$C$17)</f>
        <v>-2</v>
      </c>
      <c r="M29" s="153">
        <f>IF(L29&gt;0,0,-L29*$B$26)</f>
        <v>2</v>
      </c>
      <c r="N29" s="153">
        <f t="shared" ref="N29:N39" si="1">IF($C$9-J29&gt;0,0,-($C$9-J29)*$B$25)</f>
        <v>0</v>
      </c>
      <c r="O29" s="101">
        <f>M29+N29</f>
        <v>2</v>
      </c>
      <c r="P29" s="100">
        <f>VLOOKUP(A29,'XC Jump'!$A:$AG,33,FALSE)</f>
        <v>0</v>
      </c>
      <c r="Q29" s="102">
        <f t="shared" ref="Q29:Q34" si="2">IF(P29="E","E",IF(P29="R","R",O29+P29))</f>
        <v>2</v>
      </c>
    </row>
    <row r="30" spans="1:17" x14ac:dyDescent="0.3">
      <c r="A30" s="14">
        <v>51</v>
      </c>
      <c r="B30" s="14" t="str">
        <f>VLOOKUP(A30,'Order of Go &amp; Master Sheet'!$A:$D,2,FALSE)</f>
        <v>Faith Stuart</v>
      </c>
      <c r="C30" s="14" t="str">
        <f>VLOOKUP(A30,'Order of Go &amp; Master Sheet'!$A:$D,3,FALSE)</f>
        <v>Fix It Felix</v>
      </c>
      <c r="D30" s="96">
        <v>9.5381944444444436E-2</v>
      </c>
      <c r="E30" s="96">
        <v>9.9282407407407403E-2</v>
      </c>
      <c r="F30" s="95">
        <f t="shared" si="0"/>
        <v>3.9004629629629667E-3</v>
      </c>
      <c r="G30" s="99">
        <v>5</v>
      </c>
      <c r="H30" s="99">
        <v>37</v>
      </c>
      <c r="I30" s="128" t="str">
        <f t="shared" ref="I30:I34" si="3">CONCATENATE(G30,":",H30)</f>
        <v>5:37</v>
      </c>
      <c r="J30" s="7">
        <f t="shared" ref="J30:J34" si="4">(G30*60)+H30</f>
        <v>337</v>
      </c>
      <c r="K30" s="7">
        <f t="shared" ref="K30:K39" si="5">IF(D30+E30+G30+H30=0,0,J30-$C$9)</f>
        <v>26</v>
      </c>
      <c r="L30" s="7">
        <f t="shared" ref="L30:L39" si="6">IF(D30+E30+G30+H30=0,0,J30-$C$17)</f>
        <v>48</v>
      </c>
      <c r="M30" s="153">
        <f t="shared" ref="M30:M39" si="7">IF(L30&gt;0,0,-L30*$B$26)</f>
        <v>0</v>
      </c>
      <c r="N30" s="153">
        <f t="shared" si="1"/>
        <v>10.4</v>
      </c>
      <c r="O30" s="101">
        <f t="shared" ref="O30:O39" si="8">M30+N30</f>
        <v>10.4</v>
      </c>
      <c r="P30" s="100">
        <f>VLOOKUP(A30,'XC Jump'!$A:$AG,33,FALSE)</f>
        <v>20</v>
      </c>
      <c r="Q30" s="102">
        <f t="shared" si="2"/>
        <v>30.4</v>
      </c>
    </row>
    <row r="31" spans="1:17" x14ac:dyDescent="0.3">
      <c r="A31" s="14">
        <v>41</v>
      </c>
      <c r="B31" s="14" t="str">
        <f>VLOOKUP(A31,'Order of Go &amp; Master Sheet'!$A:$D,2,FALSE)</f>
        <v>Celine Branconnier</v>
      </c>
      <c r="C31" s="14" t="str">
        <f>VLOOKUP(A31,'Order of Go &amp; Master Sheet'!$A:$D,3,FALSE)</f>
        <v>Whiley Coyote</v>
      </c>
      <c r="D31" s="96">
        <v>9.9525462962962954E-2</v>
      </c>
      <c r="E31" s="96">
        <v>0.10268518518518517</v>
      </c>
      <c r="F31" s="95">
        <f t="shared" si="0"/>
        <v>3.1597222222222165E-3</v>
      </c>
      <c r="G31" s="99">
        <v>4</v>
      </c>
      <c r="H31" s="99">
        <v>33</v>
      </c>
      <c r="I31" s="128" t="str">
        <f t="shared" si="3"/>
        <v>4:33</v>
      </c>
      <c r="J31" s="7">
        <f t="shared" si="4"/>
        <v>273</v>
      </c>
      <c r="K31" s="7">
        <f t="shared" si="5"/>
        <v>-38</v>
      </c>
      <c r="L31" s="7">
        <f t="shared" si="6"/>
        <v>-16</v>
      </c>
      <c r="M31" s="153">
        <f t="shared" si="7"/>
        <v>16</v>
      </c>
      <c r="N31" s="153">
        <f t="shared" si="1"/>
        <v>0</v>
      </c>
      <c r="O31" s="101">
        <f t="shared" si="8"/>
        <v>16</v>
      </c>
      <c r="P31" s="100">
        <f>VLOOKUP(A31,'XC Jump'!$A:$AG,33,FALSE)</f>
        <v>0</v>
      </c>
      <c r="Q31" s="102">
        <f t="shared" si="2"/>
        <v>16</v>
      </c>
    </row>
    <row r="32" spans="1:17" x14ac:dyDescent="0.3">
      <c r="A32" s="14">
        <f>'XC Jump'!A17</f>
        <v>43</v>
      </c>
      <c r="B32" s="14" t="str">
        <f>VLOOKUP(A32,'Order of Go &amp; Master Sheet'!$A:$D,2,FALSE)</f>
        <v>Aleesha Gillette</v>
      </c>
      <c r="C32" s="14" t="str">
        <f>VLOOKUP(A32,'Order of Go &amp; Master Sheet'!$A:$D,3,FALSE)</f>
        <v>Dark Details</v>
      </c>
      <c r="D32" s="96">
        <v>0.10439814814814814</v>
      </c>
      <c r="E32" s="96">
        <v>0.10815972222222221</v>
      </c>
      <c r="F32" s="95">
        <f t="shared" si="0"/>
        <v>3.76157407407407E-3</v>
      </c>
      <c r="G32" s="99">
        <v>5</v>
      </c>
      <c r="H32" s="151">
        <v>25</v>
      </c>
      <c r="I32" s="128" t="str">
        <f t="shared" si="3"/>
        <v>5:25</v>
      </c>
      <c r="J32" s="7">
        <f t="shared" si="4"/>
        <v>325</v>
      </c>
      <c r="K32" s="7">
        <f t="shared" si="5"/>
        <v>14</v>
      </c>
      <c r="L32" s="7">
        <f t="shared" si="6"/>
        <v>36</v>
      </c>
      <c r="M32" s="153">
        <f t="shared" si="7"/>
        <v>0</v>
      </c>
      <c r="N32" s="153">
        <f t="shared" si="1"/>
        <v>5.6000000000000005</v>
      </c>
      <c r="O32" s="101">
        <f t="shared" si="8"/>
        <v>5.6000000000000005</v>
      </c>
      <c r="P32" s="100">
        <f>VLOOKUP(A32,'XC Jump'!$A:$AG,33,FALSE)</f>
        <v>20</v>
      </c>
      <c r="Q32" s="102">
        <f t="shared" si="2"/>
        <v>25.6</v>
      </c>
    </row>
    <row r="33" spans="1:17" x14ac:dyDescent="0.3">
      <c r="A33" s="14">
        <f>'XC Jump'!A18</f>
        <v>0</v>
      </c>
      <c r="B33" s="14" t="e">
        <f>VLOOKUP(A33,'Order of Go &amp; Master Sheet'!$A:$D,2,FALSE)</f>
        <v>#N/A</v>
      </c>
      <c r="C33" s="14" t="e">
        <f>VLOOKUP(A33,'Order of Go &amp; Master Sheet'!$A:$D,3,FALSE)</f>
        <v>#N/A</v>
      </c>
      <c r="D33" s="96"/>
      <c r="E33" s="96"/>
      <c r="F33" s="95">
        <f t="shared" si="0"/>
        <v>0</v>
      </c>
      <c r="G33" s="99"/>
      <c r="H33" s="99"/>
      <c r="I33" s="128" t="str">
        <f t="shared" si="3"/>
        <v>:</v>
      </c>
      <c r="J33" s="7">
        <f t="shared" si="4"/>
        <v>0</v>
      </c>
      <c r="K33" s="7">
        <f t="shared" si="5"/>
        <v>0</v>
      </c>
      <c r="L33" s="7">
        <f t="shared" si="6"/>
        <v>0</v>
      </c>
      <c r="M33" s="153">
        <f t="shared" si="7"/>
        <v>0</v>
      </c>
      <c r="N33" s="153">
        <f t="shared" si="1"/>
        <v>0</v>
      </c>
      <c r="O33" s="101">
        <f t="shared" si="8"/>
        <v>0</v>
      </c>
      <c r="P33" s="100">
        <f>VLOOKUP(A33,'XC Jump'!$A:$AG,33,FALSE)</f>
        <v>0</v>
      </c>
      <c r="Q33" s="102">
        <f t="shared" si="2"/>
        <v>0</v>
      </c>
    </row>
    <row r="34" spans="1:17" x14ac:dyDescent="0.3">
      <c r="A34" s="14">
        <f>'XC Jump'!A19</f>
        <v>0</v>
      </c>
      <c r="B34" s="14" t="e">
        <f>VLOOKUP(A34,'Order of Go &amp; Master Sheet'!$A:$D,2,FALSE)</f>
        <v>#N/A</v>
      </c>
      <c r="C34" s="14" t="e">
        <f>VLOOKUP(A34,'Order of Go &amp; Master Sheet'!$A:$D,3,FALSE)</f>
        <v>#N/A</v>
      </c>
      <c r="D34" s="96"/>
      <c r="E34" s="96"/>
      <c r="F34" s="95">
        <f t="shared" si="0"/>
        <v>0</v>
      </c>
      <c r="G34" s="99"/>
      <c r="H34" s="99"/>
      <c r="I34" s="128" t="str">
        <f t="shared" si="3"/>
        <v>:</v>
      </c>
      <c r="J34" s="7">
        <f t="shared" si="4"/>
        <v>0</v>
      </c>
      <c r="K34" s="7">
        <f t="shared" si="5"/>
        <v>0</v>
      </c>
      <c r="L34" s="7">
        <f t="shared" si="6"/>
        <v>0</v>
      </c>
      <c r="M34" s="153">
        <f t="shared" si="7"/>
        <v>0</v>
      </c>
      <c r="N34" s="153">
        <f t="shared" si="1"/>
        <v>0</v>
      </c>
      <c r="O34" s="101">
        <f t="shared" si="8"/>
        <v>0</v>
      </c>
      <c r="P34" s="100">
        <f>VLOOKUP(A34,'XC Jump'!$A:$AG,33,FALSE)</f>
        <v>0</v>
      </c>
      <c r="Q34" s="102">
        <f t="shared" si="2"/>
        <v>0</v>
      </c>
    </row>
    <row r="35" spans="1:17" x14ac:dyDescent="0.3">
      <c r="A35" s="14">
        <f>'XC Jump'!A20</f>
        <v>0</v>
      </c>
      <c r="B35" s="14" t="e">
        <f>VLOOKUP(A35,'Order of Go &amp; Master Sheet'!$A:$D,2,FALSE)</f>
        <v>#N/A</v>
      </c>
      <c r="C35" s="14" t="e">
        <f>VLOOKUP(A35,'Order of Go &amp; Master Sheet'!$A:$D,3,FALSE)</f>
        <v>#N/A</v>
      </c>
      <c r="D35" s="96"/>
      <c r="E35" s="96"/>
      <c r="F35" s="95">
        <f t="shared" si="0"/>
        <v>0</v>
      </c>
      <c r="G35" s="99"/>
      <c r="H35" s="99"/>
      <c r="I35" s="128" t="str">
        <f t="shared" ref="I35:I39" si="9">CONCATENATE(G35,":",H35)</f>
        <v>:</v>
      </c>
      <c r="J35" s="7">
        <f t="shared" ref="J35:J39" si="10">(G35*60)+H35</f>
        <v>0</v>
      </c>
      <c r="K35" s="7">
        <f t="shared" si="5"/>
        <v>0</v>
      </c>
      <c r="L35" s="7">
        <f t="shared" si="6"/>
        <v>0</v>
      </c>
      <c r="M35" s="153">
        <f t="shared" si="7"/>
        <v>0</v>
      </c>
      <c r="N35" s="153">
        <f t="shared" si="1"/>
        <v>0</v>
      </c>
      <c r="O35" s="101">
        <f t="shared" si="8"/>
        <v>0</v>
      </c>
      <c r="P35" s="100">
        <f>VLOOKUP(A35,'XC Jump'!$A:$AG,33,FALSE)</f>
        <v>0</v>
      </c>
      <c r="Q35" s="102">
        <f>IF(P35="E","E",IF(P35="R","R",O35+P35))</f>
        <v>0</v>
      </c>
    </row>
    <row r="36" spans="1:17" x14ac:dyDescent="0.3">
      <c r="A36" s="14">
        <f>'XC Jump'!A21</f>
        <v>0</v>
      </c>
      <c r="B36" s="14" t="e">
        <f>VLOOKUP(A36,'Order of Go &amp; Master Sheet'!$A:$D,2,FALSE)</f>
        <v>#N/A</v>
      </c>
      <c r="C36" s="14" t="e">
        <f>VLOOKUP(A36,'Order of Go &amp; Master Sheet'!$A:$D,3,FALSE)</f>
        <v>#N/A</v>
      </c>
      <c r="D36" s="96"/>
      <c r="E36" s="96"/>
      <c r="F36" s="95">
        <f t="shared" si="0"/>
        <v>0</v>
      </c>
      <c r="G36" s="99"/>
      <c r="H36" s="99"/>
      <c r="I36" s="128" t="str">
        <f t="shared" si="9"/>
        <v>:</v>
      </c>
      <c r="J36" s="7">
        <f t="shared" si="10"/>
        <v>0</v>
      </c>
      <c r="K36" s="7">
        <f t="shared" si="5"/>
        <v>0</v>
      </c>
      <c r="L36" s="7">
        <f t="shared" si="6"/>
        <v>0</v>
      </c>
      <c r="M36" s="153">
        <f t="shared" si="7"/>
        <v>0</v>
      </c>
      <c r="N36" s="153">
        <f t="shared" si="1"/>
        <v>0</v>
      </c>
      <c r="O36" s="101">
        <f t="shared" si="8"/>
        <v>0</v>
      </c>
      <c r="P36" s="100">
        <f>VLOOKUP(A36,'XC Jump'!$A:$AG,33,FALSE)</f>
        <v>0</v>
      </c>
      <c r="Q36" s="102">
        <f t="shared" ref="Q36:Q39" si="11">IF(P36="E","E",IF(P36="R","R",O36+P36))</f>
        <v>0</v>
      </c>
    </row>
    <row r="37" spans="1:17" x14ac:dyDescent="0.3">
      <c r="A37" s="14">
        <f>'XC Jump'!A22</f>
        <v>0</v>
      </c>
      <c r="B37" s="14" t="e">
        <f>VLOOKUP(A37,'Order of Go &amp; Master Sheet'!$A:$D,2,FALSE)</f>
        <v>#N/A</v>
      </c>
      <c r="C37" s="14" t="e">
        <f>VLOOKUP(A37,'Order of Go &amp; Master Sheet'!$A:$D,3,FALSE)</f>
        <v>#N/A</v>
      </c>
      <c r="D37" s="96"/>
      <c r="E37" s="96"/>
      <c r="F37" s="95">
        <f t="shared" si="0"/>
        <v>0</v>
      </c>
      <c r="G37" s="99"/>
      <c r="H37" s="99"/>
      <c r="I37" s="128" t="str">
        <f t="shared" si="9"/>
        <v>:</v>
      </c>
      <c r="J37" s="7">
        <f t="shared" si="10"/>
        <v>0</v>
      </c>
      <c r="K37" s="7">
        <f t="shared" si="5"/>
        <v>0</v>
      </c>
      <c r="L37" s="7">
        <f t="shared" si="6"/>
        <v>0</v>
      </c>
      <c r="M37" s="153">
        <f t="shared" si="7"/>
        <v>0</v>
      </c>
      <c r="N37" s="153">
        <f t="shared" si="1"/>
        <v>0</v>
      </c>
      <c r="O37" s="101">
        <f t="shared" si="8"/>
        <v>0</v>
      </c>
      <c r="P37" s="100">
        <f>VLOOKUP(A37,'XC Jump'!$A:$AG,33,FALSE)</f>
        <v>0</v>
      </c>
      <c r="Q37" s="102">
        <f t="shared" si="11"/>
        <v>0</v>
      </c>
    </row>
    <row r="38" spans="1:17" x14ac:dyDescent="0.3">
      <c r="A38" s="14">
        <f>'XC Jump'!A23</f>
        <v>0</v>
      </c>
      <c r="B38" s="14" t="e">
        <f>VLOOKUP(A38,'Order of Go &amp; Master Sheet'!$A:$D,2,FALSE)</f>
        <v>#N/A</v>
      </c>
      <c r="C38" s="14" t="e">
        <f>VLOOKUP(A38,'Order of Go &amp; Master Sheet'!$A:$D,3,FALSE)</f>
        <v>#N/A</v>
      </c>
      <c r="D38" s="96"/>
      <c r="E38" s="96"/>
      <c r="F38" s="95">
        <f t="shared" si="0"/>
        <v>0</v>
      </c>
      <c r="G38" s="99"/>
      <c r="H38" s="99"/>
      <c r="I38" s="128" t="str">
        <f t="shared" si="9"/>
        <v>:</v>
      </c>
      <c r="J38" s="7">
        <f t="shared" si="10"/>
        <v>0</v>
      </c>
      <c r="K38" s="7">
        <f t="shared" si="5"/>
        <v>0</v>
      </c>
      <c r="L38" s="7">
        <f t="shared" si="6"/>
        <v>0</v>
      </c>
      <c r="M38" s="153">
        <f t="shared" si="7"/>
        <v>0</v>
      </c>
      <c r="N38" s="153">
        <f t="shared" si="1"/>
        <v>0</v>
      </c>
      <c r="O38" s="101">
        <f t="shared" si="8"/>
        <v>0</v>
      </c>
      <c r="P38" s="100">
        <f>VLOOKUP(A38,'XC Jump'!$A:$AG,33,FALSE)</f>
        <v>0</v>
      </c>
      <c r="Q38" s="102">
        <f t="shared" si="11"/>
        <v>0</v>
      </c>
    </row>
    <row r="39" spans="1:17" ht="15" thickBot="1" x14ac:dyDescent="0.35">
      <c r="A39" s="14">
        <f>'XC Jump'!A24</f>
        <v>0</v>
      </c>
      <c r="B39" s="14" t="e">
        <f>VLOOKUP(A39,'Order of Go &amp; Master Sheet'!$A:$D,2,FALSE)</f>
        <v>#N/A</v>
      </c>
      <c r="C39" s="14" t="e">
        <f>VLOOKUP(A39,'Order of Go &amp; Master Sheet'!$A:$D,3,FALSE)</f>
        <v>#N/A</v>
      </c>
      <c r="D39" s="96"/>
      <c r="E39" s="96"/>
      <c r="F39" s="95">
        <f t="shared" si="0"/>
        <v>0</v>
      </c>
      <c r="G39" s="99"/>
      <c r="H39" s="99"/>
      <c r="I39" s="129" t="str">
        <f t="shared" si="9"/>
        <v>:</v>
      </c>
      <c r="J39" s="7">
        <f t="shared" si="10"/>
        <v>0</v>
      </c>
      <c r="K39" s="7">
        <f t="shared" si="5"/>
        <v>0</v>
      </c>
      <c r="L39" s="7">
        <f t="shared" si="6"/>
        <v>0</v>
      </c>
      <c r="M39" s="153">
        <f t="shared" si="7"/>
        <v>0</v>
      </c>
      <c r="N39" s="153">
        <f t="shared" si="1"/>
        <v>0</v>
      </c>
      <c r="O39" s="105">
        <f t="shared" si="8"/>
        <v>0</v>
      </c>
      <c r="P39" s="106">
        <f>VLOOKUP(A39,'XC Jump'!$A:$AG,33,FALSE)</f>
        <v>0</v>
      </c>
      <c r="Q39" s="103">
        <f t="shared" si="11"/>
        <v>0</v>
      </c>
    </row>
  </sheetData>
  <sortState xmlns:xlrd2="http://schemas.microsoft.com/office/spreadsheetml/2017/richdata2" ref="B59:B85">
    <sortCondition ref="B5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4"/>
  <sheetViews>
    <sheetView tabSelected="1" zoomScale="90" zoomScaleNormal="90" workbookViewId="0">
      <pane xSplit="3" topLeftCell="D1" activePane="topRight" state="frozen"/>
      <selection pane="topRight" activeCell="H18" sqref="H18"/>
    </sheetView>
  </sheetViews>
  <sheetFormatPr defaultRowHeight="14.4" outlineLevelRow="1" x14ac:dyDescent="0.3"/>
  <cols>
    <col min="1" max="1" width="10.88671875" customWidth="1"/>
    <col min="2" max="2" width="15.33203125" bestFit="1" customWidth="1"/>
    <col min="3" max="3" width="16.6640625" customWidth="1"/>
    <col min="4" max="5" width="5" customWidth="1"/>
    <col min="6" max="11" width="5.109375" bestFit="1" customWidth="1"/>
    <col min="12" max="13" width="5.44140625" customWidth="1"/>
    <col min="14" max="22" width="5.109375" bestFit="1" customWidth="1"/>
    <col min="23" max="23" width="14.5546875" bestFit="1" customWidth="1"/>
    <col min="24" max="27" width="15.109375" customWidth="1"/>
    <col min="28" max="28" width="3.109375" customWidth="1"/>
    <col min="29" max="29" width="6.33203125" bestFit="1" customWidth="1"/>
    <col min="30" max="33" width="11.5546875" customWidth="1"/>
    <col min="34" max="34" width="11" bestFit="1" customWidth="1"/>
  </cols>
  <sheetData>
    <row r="1" spans="1:33" ht="18" x14ac:dyDescent="0.35">
      <c r="A1" s="4" t="s">
        <v>134</v>
      </c>
    </row>
    <row r="3" spans="1:33" ht="15.6" x14ac:dyDescent="0.3">
      <c r="A3" s="108" t="s">
        <v>136</v>
      </c>
    </row>
    <row r="4" spans="1:33" hidden="1" outlineLevel="1" x14ac:dyDescent="0.3">
      <c r="A4" t="s">
        <v>73</v>
      </c>
    </row>
    <row r="5" spans="1:33" hidden="1" outlineLevel="1" x14ac:dyDescent="0.3">
      <c r="A5" s="77" t="s">
        <v>76</v>
      </c>
      <c r="B5" s="77" t="s">
        <v>44</v>
      </c>
      <c r="C5" s="77" t="s">
        <v>77</v>
      </c>
    </row>
    <row r="6" spans="1:33" hidden="1" outlineLevel="1" x14ac:dyDescent="0.3">
      <c r="A6" s="78">
        <v>0</v>
      </c>
      <c r="B6" s="78">
        <v>0</v>
      </c>
      <c r="C6" s="24" t="s">
        <v>45</v>
      </c>
    </row>
    <row r="7" spans="1:33" hidden="1" outlineLevel="1" x14ac:dyDescent="0.3">
      <c r="A7" s="78">
        <v>1</v>
      </c>
      <c r="B7" s="78">
        <v>20</v>
      </c>
      <c r="C7" s="24" t="s">
        <v>46</v>
      </c>
    </row>
    <row r="8" spans="1:33" hidden="1" outlineLevel="1" x14ac:dyDescent="0.3">
      <c r="A8" s="78">
        <v>2</v>
      </c>
      <c r="B8" s="78">
        <v>40</v>
      </c>
      <c r="C8" s="24" t="s">
        <v>74</v>
      </c>
    </row>
    <row r="9" spans="1:33" hidden="1" outlineLevel="1" x14ac:dyDescent="0.3">
      <c r="A9" s="78">
        <v>3</v>
      </c>
      <c r="B9" s="78" t="s">
        <v>11</v>
      </c>
      <c r="C9" s="24" t="s">
        <v>75</v>
      </c>
    </row>
    <row r="10" spans="1:33" hidden="1" outlineLevel="1" x14ac:dyDescent="0.3">
      <c r="A10" s="78" t="s">
        <v>130</v>
      </c>
      <c r="B10" s="78" t="s">
        <v>11</v>
      </c>
      <c r="C10" s="24" t="s">
        <v>128</v>
      </c>
    </row>
    <row r="11" spans="1:33" hidden="1" outlineLevel="1" x14ac:dyDescent="0.3">
      <c r="A11" s="78" t="s">
        <v>94</v>
      </c>
      <c r="B11" s="78" t="s">
        <v>11</v>
      </c>
      <c r="C11" s="24" t="s">
        <v>129</v>
      </c>
    </row>
    <row r="12" spans="1:33" ht="15" collapsed="1" thickBot="1" x14ac:dyDescent="0.35">
      <c r="D12" s="18"/>
      <c r="E12" s="18"/>
      <c r="F12" s="18"/>
      <c r="G12" s="18"/>
      <c r="H12" s="18"/>
      <c r="I12" s="18"/>
      <c r="J12" s="18"/>
      <c r="K12" s="20" t="s">
        <v>43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W12" s="18"/>
      <c r="X12" s="19"/>
      <c r="Y12" s="20" t="s">
        <v>37</v>
      </c>
      <c r="Z12" s="18"/>
      <c r="AA12" s="18"/>
      <c r="AC12" s="18"/>
      <c r="AD12" s="107" t="s">
        <v>41</v>
      </c>
      <c r="AE12" s="18"/>
      <c r="AF12" s="18"/>
      <c r="AG12" s="22"/>
    </row>
    <row r="13" spans="1:33" ht="54" customHeight="1" thickBot="1" x14ac:dyDescent="0.35">
      <c r="A13" s="3" t="s">
        <v>36</v>
      </c>
      <c r="B13" s="3" t="s">
        <v>35</v>
      </c>
      <c r="C13" s="3" t="s">
        <v>6</v>
      </c>
      <c r="D13" s="23">
        <v>1</v>
      </c>
      <c r="E13" s="23">
        <v>2</v>
      </c>
      <c r="F13" s="23">
        <v>3</v>
      </c>
      <c r="G13" s="23">
        <v>4</v>
      </c>
      <c r="H13" s="23">
        <v>5</v>
      </c>
      <c r="I13" s="23">
        <v>6</v>
      </c>
      <c r="J13" s="23">
        <v>7</v>
      </c>
      <c r="K13" s="23">
        <v>8</v>
      </c>
      <c r="L13" s="23">
        <v>9</v>
      </c>
      <c r="M13" s="23">
        <v>10</v>
      </c>
      <c r="N13" s="23">
        <v>11</v>
      </c>
      <c r="O13" s="23">
        <v>12</v>
      </c>
      <c r="P13" s="23">
        <v>13</v>
      </c>
      <c r="Q13" s="23"/>
      <c r="R13" s="23"/>
      <c r="S13" s="23"/>
      <c r="T13" s="23"/>
      <c r="U13" s="23"/>
      <c r="V13" s="23"/>
      <c r="W13" s="35" t="s">
        <v>52</v>
      </c>
      <c r="X13" s="35" t="s">
        <v>52</v>
      </c>
      <c r="Y13" s="37" t="s">
        <v>53</v>
      </c>
      <c r="Z13" s="37" t="s">
        <v>131</v>
      </c>
      <c r="AA13" s="37" t="s">
        <v>132</v>
      </c>
      <c r="AB13" s="3"/>
      <c r="AC13" s="35" t="s">
        <v>38</v>
      </c>
      <c r="AD13" s="36" t="s">
        <v>39</v>
      </c>
      <c r="AE13" s="36" t="s">
        <v>40</v>
      </c>
      <c r="AF13" s="98" t="s">
        <v>133</v>
      </c>
      <c r="AG13" s="38" t="s">
        <v>42</v>
      </c>
    </row>
    <row r="14" spans="1:33" x14ac:dyDescent="0.3">
      <c r="A14" s="83">
        <v>70</v>
      </c>
      <c r="B14" t="str">
        <f>VLOOKUP($A14,'Order of Go &amp; Master Sheet'!$A:$C,2,FALSE)</f>
        <v>Lavender Woodman</v>
      </c>
      <c r="C14" t="str">
        <f>VLOOKUP($A14,'Order of Go &amp; Master Sheet'!$A:$C,3,FALSE)</f>
        <v>Watson's Cydney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5"/>
      <c r="W14" s="21">
        <f t="shared" ref="W14:W24" si="0">COUNTIF($D14:$V14,1)</f>
        <v>0</v>
      </c>
      <c r="X14" s="97">
        <f t="shared" ref="X14:X24" si="1">COUNTIF($D14:$V14,2)</f>
        <v>0</v>
      </c>
      <c r="Y14" s="34">
        <f t="shared" ref="Y14:Y24" si="2">COUNTIF($D14:$V14,3)</f>
        <v>0</v>
      </c>
      <c r="Z14" s="34">
        <f t="shared" ref="Z14:Z24" si="3">COUNTIF($D14:$V14,"Fall")</f>
        <v>0</v>
      </c>
      <c r="AA14" s="34">
        <f t="shared" ref="AA14:AA24" si="4">COUNTIF($D14:$V14,"R")</f>
        <v>0</v>
      </c>
      <c r="AB14" s="10"/>
      <c r="AC14" s="32">
        <f t="shared" ref="AC14:AC24" si="5">IF(SUM($W14:$Y14)&gt;3,"E",W14*$B$7)</f>
        <v>0</v>
      </c>
      <c r="AD14" s="33">
        <f t="shared" ref="AD14:AD24" si="6">IF(SUM($W14:$Y14)&gt;3,"E",(X14*($B$7+$B$8)))</f>
        <v>0</v>
      </c>
      <c r="AE14" s="33">
        <f t="shared" ref="AE14:AE24" si="7">IF(Y14&gt;0,"E",0)</f>
        <v>0</v>
      </c>
      <c r="AF14" s="33">
        <f>IF(Z14&gt;0,"Fall",IF(AA14&gt;0,"Retired",0))</f>
        <v>0</v>
      </c>
      <c r="AG14" s="39">
        <f t="shared" ref="AG14:AG24" si="8">IF(AC14="E","E",IF(AD14="E","E",IF(AE14="E","E",IF(AF14="Fall","E",IF(AF14="Retired","R",AC14+AD14)))))</f>
        <v>0</v>
      </c>
    </row>
    <row r="15" spans="1:33" x14ac:dyDescent="0.3">
      <c r="A15" s="83">
        <v>51</v>
      </c>
      <c r="B15" t="str">
        <f>VLOOKUP($A15,'Order of Go &amp; Master Sheet'!$A:$C,2,FALSE)</f>
        <v>Faith Stuart</v>
      </c>
      <c r="C15" t="str">
        <f>VLOOKUP($A15,'Order of Go &amp; Master Sheet'!$A:$C,3,FALSE)</f>
        <v>Fix It Felix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5"/>
      <c r="W15" s="21">
        <f t="shared" si="0"/>
        <v>1</v>
      </c>
      <c r="X15" s="32">
        <f t="shared" si="1"/>
        <v>0</v>
      </c>
      <c r="Y15" s="34">
        <f t="shared" si="2"/>
        <v>0</v>
      </c>
      <c r="Z15" s="34">
        <f t="shared" si="3"/>
        <v>0</v>
      </c>
      <c r="AA15" s="34">
        <f t="shared" si="4"/>
        <v>0</v>
      </c>
      <c r="AB15" s="10"/>
      <c r="AC15" s="32">
        <f t="shared" si="5"/>
        <v>20</v>
      </c>
      <c r="AD15" s="33">
        <f t="shared" si="6"/>
        <v>0</v>
      </c>
      <c r="AE15" s="33">
        <f t="shared" si="7"/>
        <v>0</v>
      </c>
      <c r="AF15" s="33">
        <f t="shared" ref="AF15:AF24" si="9">IF(Z15&gt;0,"Fall",IF(AA15&gt;0,"Retired",0))</f>
        <v>0</v>
      </c>
      <c r="AG15" s="39">
        <f t="shared" si="8"/>
        <v>20</v>
      </c>
    </row>
    <row r="16" spans="1:33" x14ac:dyDescent="0.3">
      <c r="A16" s="83">
        <v>41</v>
      </c>
      <c r="B16" t="str">
        <f>VLOOKUP($A16,'Order of Go &amp; Master Sheet'!$A:$C,2,FALSE)</f>
        <v>Celine Branconnier</v>
      </c>
      <c r="C16" t="str">
        <f>VLOOKUP($A16,'Order of Go &amp; Master Sheet'!$A:$C,3,FALSE)</f>
        <v>Whiley Coyote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5"/>
      <c r="W16" s="21">
        <f t="shared" si="0"/>
        <v>0</v>
      </c>
      <c r="X16" s="32">
        <f t="shared" si="1"/>
        <v>0</v>
      </c>
      <c r="Y16" s="34">
        <f t="shared" si="2"/>
        <v>0</v>
      </c>
      <c r="Z16" s="34">
        <f t="shared" si="3"/>
        <v>0</v>
      </c>
      <c r="AA16" s="34">
        <f t="shared" si="4"/>
        <v>0</v>
      </c>
      <c r="AB16" s="10"/>
      <c r="AC16" s="32">
        <f t="shared" si="5"/>
        <v>0</v>
      </c>
      <c r="AD16" s="33">
        <f t="shared" si="6"/>
        <v>0</v>
      </c>
      <c r="AE16" s="33">
        <f t="shared" si="7"/>
        <v>0</v>
      </c>
      <c r="AF16" s="33">
        <f t="shared" si="9"/>
        <v>0</v>
      </c>
      <c r="AG16" s="39">
        <f t="shared" si="8"/>
        <v>0</v>
      </c>
    </row>
    <row r="17" spans="1:33" x14ac:dyDescent="0.3">
      <c r="A17" s="83">
        <v>43</v>
      </c>
      <c r="B17" t="str">
        <f>VLOOKUP($A17,'Order of Go &amp; Master Sheet'!$A:$C,2,FALSE)</f>
        <v>Aleesha Gillette</v>
      </c>
      <c r="C17" t="str">
        <f>VLOOKUP($A17,'Order of Go &amp; Master Sheet'!$A:$C,3,FALSE)</f>
        <v>Dark Details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5"/>
      <c r="W17" s="21">
        <f t="shared" si="0"/>
        <v>1</v>
      </c>
      <c r="X17" s="32">
        <f t="shared" si="1"/>
        <v>0</v>
      </c>
      <c r="Y17" s="34">
        <f t="shared" si="2"/>
        <v>0</v>
      </c>
      <c r="Z17" s="34">
        <f t="shared" si="3"/>
        <v>0</v>
      </c>
      <c r="AA17" s="34">
        <f t="shared" si="4"/>
        <v>0</v>
      </c>
      <c r="AB17" s="10"/>
      <c r="AC17" s="32">
        <f t="shared" si="5"/>
        <v>20</v>
      </c>
      <c r="AD17" s="33">
        <f t="shared" si="6"/>
        <v>0</v>
      </c>
      <c r="AE17" s="33">
        <f t="shared" si="7"/>
        <v>0</v>
      </c>
      <c r="AF17" s="33">
        <f t="shared" si="9"/>
        <v>0</v>
      </c>
      <c r="AG17" s="39">
        <f t="shared" si="8"/>
        <v>20</v>
      </c>
    </row>
    <row r="18" spans="1:33" x14ac:dyDescent="0.3">
      <c r="A18" s="83"/>
      <c r="B18" t="e">
        <f>VLOOKUP($A18,'Order of Go &amp; Master Sheet'!$A:$C,2,FALSE)</f>
        <v>#N/A</v>
      </c>
      <c r="C18" t="e">
        <f>VLOOKUP($A18,'Order of Go &amp; Master Sheet'!$A:$C,3,FALSE)</f>
        <v>#N/A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5"/>
      <c r="W18" s="21">
        <f t="shared" si="0"/>
        <v>0</v>
      </c>
      <c r="X18" s="32">
        <f t="shared" si="1"/>
        <v>0</v>
      </c>
      <c r="Y18" s="34">
        <f t="shared" si="2"/>
        <v>0</v>
      </c>
      <c r="Z18" s="34">
        <f t="shared" si="3"/>
        <v>0</v>
      </c>
      <c r="AA18" s="34">
        <f t="shared" si="4"/>
        <v>0</v>
      </c>
      <c r="AB18" s="10"/>
      <c r="AC18" s="32">
        <f t="shared" si="5"/>
        <v>0</v>
      </c>
      <c r="AD18" s="33">
        <f t="shared" si="6"/>
        <v>0</v>
      </c>
      <c r="AE18" s="33">
        <f t="shared" si="7"/>
        <v>0</v>
      </c>
      <c r="AF18" s="33">
        <f t="shared" si="9"/>
        <v>0</v>
      </c>
      <c r="AG18" s="39">
        <f t="shared" si="8"/>
        <v>0</v>
      </c>
    </row>
    <row r="19" spans="1:33" x14ac:dyDescent="0.3">
      <c r="A19" s="83"/>
      <c r="B19" t="e">
        <f>VLOOKUP($A19,'Order of Go &amp; Master Sheet'!$A:$C,2,FALSE)</f>
        <v>#N/A</v>
      </c>
      <c r="C19" t="e">
        <f>VLOOKUP($A19,'Order of Go &amp; Master Sheet'!$A:$C,3,FALSE)</f>
        <v>#N/A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5"/>
      <c r="W19" s="21">
        <f t="shared" si="0"/>
        <v>0</v>
      </c>
      <c r="X19" s="32">
        <f t="shared" si="1"/>
        <v>0</v>
      </c>
      <c r="Y19" s="34">
        <f t="shared" si="2"/>
        <v>0</v>
      </c>
      <c r="Z19" s="34">
        <f t="shared" si="3"/>
        <v>0</v>
      </c>
      <c r="AA19" s="34">
        <f t="shared" si="4"/>
        <v>0</v>
      </c>
      <c r="AB19" s="10"/>
      <c r="AC19" s="32">
        <f t="shared" si="5"/>
        <v>0</v>
      </c>
      <c r="AD19" s="33">
        <f t="shared" si="6"/>
        <v>0</v>
      </c>
      <c r="AE19" s="33">
        <f t="shared" si="7"/>
        <v>0</v>
      </c>
      <c r="AF19" s="33">
        <f t="shared" si="9"/>
        <v>0</v>
      </c>
      <c r="AG19" s="39">
        <f t="shared" si="8"/>
        <v>0</v>
      </c>
    </row>
    <row r="20" spans="1:33" x14ac:dyDescent="0.3">
      <c r="A20" s="83"/>
      <c r="B20" t="e">
        <f>VLOOKUP($A20,'Order of Go &amp; Master Sheet'!$A:$C,2,FALSE)</f>
        <v>#N/A</v>
      </c>
      <c r="C20" t="e">
        <f>VLOOKUP($A20,'Order of Go &amp; Master Sheet'!$A:$C,3,FALSE)</f>
        <v>#N/A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5"/>
      <c r="W20" s="21">
        <f t="shared" si="0"/>
        <v>0</v>
      </c>
      <c r="X20" s="32">
        <f t="shared" si="1"/>
        <v>0</v>
      </c>
      <c r="Y20" s="34">
        <f t="shared" si="2"/>
        <v>0</v>
      </c>
      <c r="Z20" s="34">
        <f t="shared" si="3"/>
        <v>0</v>
      </c>
      <c r="AA20" s="34">
        <f t="shared" si="4"/>
        <v>0</v>
      </c>
      <c r="AB20" s="10"/>
      <c r="AC20" s="32">
        <f t="shared" si="5"/>
        <v>0</v>
      </c>
      <c r="AD20" s="33">
        <f t="shared" si="6"/>
        <v>0</v>
      </c>
      <c r="AE20" s="33">
        <f t="shared" si="7"/>
        <v>0</v>
      </c>
      <c r="AF20" s="33">
        <f t="shared" si="9"/>
        <v>0</v>
      </c>
      <c r="AG20" s="39">
        <f t="shared" si="8"/>
        <v>0</v>
      </c>
    </row>
    <row r="21" spans="1:33" x14ac:dyDescent="0.3">
      <c r="A21" s="16"/>
      <c r="B21" t="e">
        <f>VLOOKUP($A21,'Order of Go &amp; Master Sheet'!$A:$C,2,FALSE)</f>
        <v>#N/A</v>
      </c>
      <c r="C21" t="e">
        <f>VLOOKUP($A21,'Order of Go &amp; Master Sheet'!$A:$C,3,FALSE)</f>
        <v>#N/A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5"/>
      <c r="W21" s="21">
        <f t="shared" si="0"/>
        <v>0</v>
      </c>
      <c r="X21" s="32">
        <f t="shared" si="1"/>
        <v>0</v>
      </c>
      <c r="Y21" s="34">
        <f t="shared" si="2"/>
        <v>0</v>
      </c>
      <c r="Z21" s="34">
        <f t="shared" si="3"/>
        <v>0</v>
      </c>
      <c r="AA21" s="34">
        <f t="shared" si="4"/>
        <v>0</v>
      </c>
      <c r="AB21" s="10"/>
      <c r="AC21" s="32">
        <f t="shared" si="5"/>
        <v>0</v>
      </c>
      <c r="AD21" s="33">
        <f t="shared" si="6"/>
        <v>0</v>
      </c>
      <c r="AE21" s="33">
        <f t="shared" si="7"/>
        <v>0</v>
      </c>
      <c r="AF21" s="33">
        <f t="shared" si="9"/>
        <v>0</v>
      </c>
      <c r="AG21" s="39">
        <f t="shared" si="8"/>
        <v>0</v>
      </c>
    </row>
    <row r="22" spans="1:33" x14ac:dyDescent="0.3">
      <c r="A22" s="83"/>
      <c r="B22" t="e">
        <f>VLOOKUP($A22,'Order of Go &amp; Master Sheet'!$A:$C,2,FALSE)</f>
        <v>#N/A</v>
      </c>
      <c r="C22" t="e">
        <f>VLOOKUP($A22,'Order of Go &amp; Master Sheet'!$A:$C,3,FALSE)</f>
        <v>#N/A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5"/>
      <c r="W22" s="21">
        <f t="shared" si="0"/>
        <v>0</v>
      </c>
      <c r="X22" s="32">
        <f t="shared" si="1"/>
        <v>0</v>
      </c>
      <c r="Y22" s="34">
        <f t="shared" si="2"/>
        <v>0</v>
      </c>
      <c r="Z22" s="34">
        <f t="shared" si="3"/>
        <v>0</v>
      </c>
      <c r="AA22" s="34">
        <f t="shared" si="4"/>
        <v>0</v>
      </c>
      <c r="AB22" s="10"/>
      <c r="AC22" s="32">
        <f t="shared" si="5"/>
        <v>0</v>
      </c>
      <c r="AD22" s="33">
        <f t="shared" si="6"/>
        <v>0</v>
      </c>
      <c r="AE22" s="33">
        <f t="shared" si="7"/>
        <v>0</v>
      </c>
      <c r="AF22" s="33">
        <f t="shared" si="9"/>
        <v>0</v>
      </c>
      <c r="AG22" s="39">
        <f t="shared" si="8"/>
        <v>0</v>
      </c>
    </row>
    <row r="23" spans="1:33" x14ac:dyDescent="0.3">
      <c r="A23" s="83"/>
      <c r="B23" t="e">
        <f>VLOOKUP($A23,'Order of Go &amp; Master Sheet'!$A:$C,2,FALSE)</f>
        <v>#N/A</v>
      </c>
      <c r="C23" t="e">
        <f>VLOOKUP($A23,'Order of Go &amp; Master Sheet'!$A:$C,3,FALSE)</f>
        <v>#N/A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5"/>
      <c r="W23" s="21">
        <f t="shared" si="0"/>
        <v>0</v>
      </c>
      <c r="X23" s="32">
        <f t="shared" si="1"/>
        <v>0</v>
      </c>
      <c r="Y23" s="34">
        <f t="shared" si="2"/>
        <v>0</v>
      </c>
      <c r="Z23" s="34">
        <f t="shared" si="3"/>
        <v>0</v>
      </c>
      <c r="AA23" s="34">
        <f t="shared" si="4"/>
        <v>0</v>
      </c>
      <c r="AB23" s="10"/>
      <c r="AC23" s="32">
        <f t="shared" si="5"/>
        <v>0</v>
      </c>
      <c r="AD23" s="33">
        <f t="shared" si="6"/>
        <v>0</v>
      </c>
      <c r="AE23" s="33">
        <f t="shared" si="7"/>
        <v>0</v>
      </c>
      <c r="AF23" s="33">
        <f t="shared" si="9"/>
        <v>0</v>
      </c>
      <c r="AG23" s="39">
        <f t="shared" si="8"/>
        <v>0</v>
      </c>
    </row>
    <row r="24" spans="1:33" x14ac:dyDescent="0.3">
      <c r="A24" s="83"/>
      <c r="B24" t="e">
        <f>VLOOKUP($A24,'Order of Go &amp; Master Sheet'!$A:$C,2,FALSE)</f>
        <v>#N/A</v>
      </c>
      <c r="C24" t="e">
        <f>VLOOKUP($A24,'Order of Go &amp; Master Sheet'!$A:$C,3,FALSE)</f>
        <v>#N/A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5"/>
      <c r="W24" s="21">
        <f t="shared" si="0"/>
        <v>0</v>
      </c>
      <c r="X24" s="32">
        <f t="shared" si="1"/>
        <v>0</v>
      </c>
      <c r="Y24" s="34">
        <f t="shared" si="2"/>
        <v>0</v>
      </c>
      <c r="Z24" s="34">
        <f t="shared" si="3"/>
        <v>0</v>
      </c>
      <c r="AA24" s="34">
        <f t="shared" si="4"/>
        <v>0</v>
      </c>
      <c r="AB24" s="10"/>
      <c r="AC24" s="32">
        <f t="shared" si="5"/>
        <v>0</v>
      </c>
      <c r="AD24" s="33">
        <f t="shared" si="6"/>
        <v>0</v>
      </c>
      <c r="AE24" s="33">
        <f t="shared" si="7"/>
        <v>0</v>
      </c>
      <c r="AF24" s="33">
        <f t="shared" si="9"/>
        <v>0</v>
      </c>
      <c r="AG24" s="39">
        <f t="shared" si="8"/>
        <v>0</v>
      </c>
    </row>
  </sheetData>
  <conditionalFormatting sqref="AG14:AG24">
    <cfRule type="cellIs" dxfId="10" priority="1" operator="equal">
      <formula>"R"</formula>
    </cfRule>
    <cfRule type="cellIs" dxfId="9" priority="2" operator="equal">
      <formula>"e"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topLeftCell="A6" zoomScale="80" zoomScaleNormal="80" workbookViewId="0">
      <selection activeCell="G39" sqref="G39"/>
    </sheetView>
  </sheetViews>
  <sheetFormatPr defaultRowHeight="14.4" x14ac:dyDescent="0.3"/>
  <cols>
    <col min="1" max="1" width="16" customWidth="1"/>
    <col min="2" max="2" width="18.33203125" bestFit="1" customWidth="1"/>
    <col min="3" max="3" width="18.44140625" customWidth="1"/>
    <col min="4" max="4" width="16.88671875" customWidth="1"/>
    <col min="5" max="5" width="20.88671875" bestFit="1" customWidth="1"/>
    <col min="6" max="16" width="16.88671875" customWidth="1"/>
  </cols>
  <sheetData>
    <row r="1" spans="1:11" ht="18" x14ac:dyDescent="0.35">
      <c r="A1" s="4" t="str">
        <f>CONCATENATE("Dressage: ",'Order of Go &amp; Master Sheet'!$G$1)</f>
        <v>Dressage: Pre-Entry (.75m)</v>
      </c>
      <c r="I1" s="166" t="s">
        <v>115</v>
      </c>
    </row>
    <row r="2" spans="1:11" x14ac:dyDescent="0.3">
      <c r="I2" s="17" t="s">
        <v>114</v>
      </c>
      <c r="J2" s="17"/>
      <c r="K2" s="17"/>
    </row>
    <row r="3" spans="1:11" x14ac:dyDescent="0.3">
      <c r="A3" s="3" t="s">
        <v>81</v>
      </c>
      <c r="B3" s="90" t="s">
        <v>246</v>
      </c>
      <c r="I3" t="s">
        <v>152</v>
      </c>
    </row>
    <row r="4" spans="1:11" x14ac:dyDescent="0.3">
      <c r="A4" s="3" t="s">
        <v>99</v>
      </c>
      <c r="B4" s="90">
        <v>180</v>
      </c>
      <c r="I4" t="s">
        <v>116</v>
      </c>
    </row>
    <row r="5" spans="1:11" x14ac:dyDescent="0.3">
      <c r="I5" t="s">
        <v>153</v>
      </c>
    </row>
    <row r="6" spans="1:11" ht="15.6" x14ac:dyDescent="0.3">
      <c r="A6" s="64" t="s">
        <v>95</v>
      </c>
      <c r="B6" s="2" t="s">
        <v>5</v>
      </c>
      <c r="C6" s="2" t="s">
        <v>6</v>
      </c>
      <c r="D6" t="s">
        <v>93</v>
      </c>
      <c r="E6" t="s">
        <v>117</v>
      </c>
      <c r="F6" t="s">
        <v>44</v>
      </c>
      <c r="J6" t="s">
        <v>155</v>
      </c>
    </row>
    <row r="7" spans="1:11" x14ac:dyDescent="0.3">
      <c r="A7" s="91">
        <v>70</v>
      </c>
      <c r="B7" t="str">
        <f>VLOOKUP(A7,'Order of Go &amp; Master Sheet'!$A:$C,2,FALSE)</f>
        <v>Lavender Woodman</v>
      </c>
      <c r="C7" t="str">
        <f>VLOOKUP(A7,'Order of Go &amp; Master Sheet'!$A:$C,3,FALSE)</f>
        <v>Watson's Cydney</v>
      </c>
      <c r="D7">
        <f>HLOOKUP(A7,$21:$52,MATCH("TOTAL POINTS",$A$21:$A$52,0),FALSE)</f>
        <v>139.5</v>
      </c>
      <c r="E7" s="92">
        <f>D7/$B$4</f>
        <v>0.77500000000000002</v>
      </c>
      <c r="F7" s="6">
        <f>(1-E7)*100</f>
        <v>22.499999999999996</v>
      </c>
      <c r="J7" t="s">
        <v>154</v>
      </c>
    </row>
    <row r="8" spans="1:11" x14ac:dyDescent="0.3">
      <c r="A8" s="91">
        <v>51</v>
      </c>
      <c r="B8" t="str">
        <f>VLOOKUP(A8,'Order of Go &amp; Master Sheet'!$A:$C,2,FALSE)</f>
        <v>Faith Stuart</v>
      </c>
      <c r="C8" t="str">
        <f>VLOOKUP(A8,'Order of Go &amp; Master Sheet'!$A:$C,3,FALSE)</f>
        <v>Fix It Felix</v>
      </c>
      <c r="D8">
        <f t="shared" ref="D8:D14" si="0">HLOOKUP(A8,$21:$52,MATCH("TOTAL POINTS",$A$21:$A$52,0),FALSE)</f>
        <v>154.5</v>
      </c>
      <c r="E8" s="92">
        <f t="shared" ref="E8:E14" si="1">D8/$B$4</f>
        <v>0.85833333333333328</v>
      </c>
      <c r="F8" s="6">
        <f t="shared" ref="F8:F14" si="2">(1-E8)*100</f>
        <v>14.166666666666671</v>
      </c>
      <c r="J8" t="s">
        <v>156</v>
      </c>
    </row>
    <row r="9" spans="1:11" x14ac:dyDescent="0.3">
      <c r="A9" s="91">
        <v>41</v>
      </c>
      <c r="B9" t="str">
        <f>VLOOKUP(A9,'Order of Go &amp; Master Sheet'!$A:$C,2,FALSE)</f>
        <v>Celine Branconnier</v>
      </c>
      <c r="C9" t="str">
        <f>VLOOKUP(A9,'Order of Go &amp; Master Sheet'!$A:$C,3,FALSE)</f>
        <v>Whiley Coyote</v>
      </c>
      <c r="D9">
        <f t="shared" si="0"/>
        <v>118.5</v>
      </c>
      <c r="E9" s="92">
        <f t="shared" si="1"/>
        <v>0.65833333333333333</v>
      </c>
      <c r="F9" s="6">
        <f t="shared" si="2"/>
        <v>34.166666666666664</v>
      </c>
      <c r="I9" t="s">
        <v>157</v>
      </c>
    </row>
    <row r="10" spans="1:11" x14ac:dyDescent="0.3">
      <c r="A10" s="91"/>
      <c r="B10" t="e">
        <f>VLOOKUP(A10,'Order of Go &amp; Master Sheet'!$A:$C,2,FALSE)</f>
        <v>#N/A</v>
      </c>
      <c r="C10" t="e">
        <f>VLOOKUP(A10,'Order of Go &amp; Master Sheet'!$A:$C,3,FALSE)</f>
        <v>#N/A</v>
      </c>
      <c r="D10">
        <f t="shared" si="0"/>
        <v>0</v>
      </c>
      <c r="E10" s="92">
        <f t="shared" si="1"/>
        <v>0</v>
      </c>
      <c r="F10" s="6">
        <f t="shared" si="2"/>
        <v>100</v>
      </c>
      <c r="I10" t="s">
        <v>158</v>
      </c>
    </row>
    <row r="11" spans="1:11" x14ac:dyDescent="0.3">
      <c r="A11" s="91"/>
      <c r="B11" t="e">
        <f>VLOOKUP(A11,'Order of Go &amp; Master Sheet'!$A:$C,2,FALSE)</f>
        <v>#N/A</v>
      </c>
      <c r="C11" t="e">
        <f>VLOOKUP(A11,'Order of Go &amp; Master Sheet'!$A:$C,3,FALSE)</f>
        <v>#N/A</v>
      </c>
      <c r="D11">
        <f t="shared" si="0"/>
        <v>0</v>
      </c>
      <c r="E11" s="92">
        <f t="shared" si="1"/>
        <v>0</v>
      </c>
      <c r="F11" s="6">
        <f t="shared" si="2"/>
        <v>100</v>
      </c>
      <c r="J11" t="s">
        <v>159</v>
      </c>
    </row>
    <row r="12" spans="1:11" x14ac:dyDescent="0.3">
      <c r="A12" s="90"/>
      <c r="B12" t="e">
        <f>VLOOKUP(A12,'Order of Go &amp; Master Sheet'!$A:$C,2,FALSE)</f>
        <v>#N/A</v>
      </c>
      <c r="C12" t="e">
        <f>VLOOKUP(A12,'Order of Go &amp; Master Sheet'!$A:$C,3,FALSE)</f>
        <v>#N/A</v>
      </c>
      <c r="D12">
        <f t="shared" si="0"/>
        <v>0</v>
      </c>
      <c r="E12" s="92">
        <f t="shared" si="1"/>
        <v>0</v>
      </c>
      <c r="F12" s="6">
        <f t="shared" si="2"/>
        <v>100</v>
      </c>
      <c r="I12" t="s">
        <v>160</v>
      </c>
    </row>
    <row r="13" spans="1:11" x14ac:dyDescent="0.3">
      <c r="A13" s="90"/>
      <c r="B13" t="e">
        <f>VLOOKUP(A13,'Order of Go &amp; Master Sheet'!$A:$C,2,FALSE)</f>
        <v>#N/A</v>
      </c>
      <c r="C13" t="e">
        <f>VLOOKUP(A13,'Order of Go &amp; Master Sheet'!$A:$C,3,FALSE)</f>
        <v>#N/A</v>
      </c>
      <c r="D13">
        <f t="shared" si="0"/>
        <v>0</v>
      </c>
      <c r="E13" s="92">
        <f t="shared" si="1"/>
        <v>0</v>
      </c>
      <c r="F13" s="6">
        <f t="shared" si="2"/>
        <v>100</v>
      </c>
      <c r="J13" t="s">
        <v>161</v>
      </c>
    </row>
    <row r="14" spans="1:11" x14ac:dyDescent="0.3">
      <c r="A14" s="90"/>
      <c r="B14" t="e">
        <f>VLOOKUP(A14,'Order of Go &amp; Master Sheet'!$A:$C,2,FALSE)</f>
        <v>#N/A</v>
      </c>
      <c r="C14" t="e">
        <f>VLOOKUP(A14,'Order of Go &amp; Master Sheet'!$A:$C,3,FALSE)</f>
        <v>#N/A</v>
      </c>
      <c r="D14">
        <f t="shared" si="0"/>
        <v>0</v>
      </c>
      <c r="E14" s="92">
        <f t="shared" si="1"/>
        <v>0</v>
      </c>
      <c r="F14" s="6">
        <f t="shared" si="2"/>
        <v>100</v>
      </c>
    </row>
    <row r="15" spans="1:11" x14ac:dyDescent="0.3">
      <c r="A15" s="90"/>
      <c r="E15" s="92"/>
      <c r="F15" s="6"/>
    </row>
    <row r="16" spans="1:11" x14ac:dyDescent="0.3">
      <c r="A16" s="90"/>
      <c r="E16" s="92"/>
      <c r="F16" s="6"/>
    </row>
    <row r="17" spans="1:18" x14ac:dyDescent="0.3">
      <c r="A17" s="90"/>
      <c r="E17" s="92"/>
      <c r="F17" s="6"/>
    </row>
    <row r="18" spans="1:18" x14ac:dyDescent="0.3">
      <c r="A18" s="90"/>
      <c r="E18" s="92"/>
      <c r="F18" s="6"/>
    </row>
    <row r="19" spans="1:18" x14ac:dyDescent="0.3">
      <c r="A19" s="90"/>
      <c r="E19" s="92"/>
      <c r="F19" s="6"/>
    </row>
    <row r="20" spans="1:18" ht="15" thickBot="1" x14ac:dyDescent="0.35"/>
    <row r="21" spans="1:18" x14ac:dyDescent="0.3">
      <c r="C21" s="132"/>
      <c r="D21" s="148">
        <f>A7</f>
        <v>70</v>
      </c>
      <c r="E21" s="132"/>
      <c r="F21" s="148">
        <f>A8</f>
        <v>51</v>
      </c>
      <c r="G21" s="132"/>
      <c r="H21" s="148">
        <f>A9</f>
        <v>41</v>
      </c>
      <c r="I21" s="132"/>
      <c r="J21" s="148">
        <f>A10</f>
        <v>0</v>
      </c>
      <c r="K21" s="132"/>
      <c r="L21" s="148">
        <f>A11</f>
        <v>0</v>
      </c>
      <c r="M21" s="132"/>
      <c r="N21" s="148">
        <f>A12</f>
        <v>0</v>
      </c>
      <c r="O21" s="132"/>
      <c r="P21" s="148"/>
      <c r="Q21" s="132"/>
      <c r="R21" s="148"/>
    </row>
    <row r="22" spans="1:18" x14ac:dyDescent="0.3">
      <c r="A22" t="s">
        <v>145</v>
      </c>
      <c r="B22" t="s">
        <v>144</v>
      </c>
      <c r="C22" s="53" t="s">
        <v>148</v>
      </c>
      <c r="D22" s="48" t="s">
        <v>147</v>
      </c>
      <c r="E22" s="53" t="s">
        <v>148</v>
      </c>
      <c r="F22" s="48" t="s">
        <v>147</v>
      </c>
      <c r="G22" s="53" t="s">
        <v>148</v>
      </c>
      <c r="H22" s="48" t="s">
        <v>147</v>
      </c>
      <c r="I22" s="53" t="s">
        <v>148</v>
      </c>
      <c r="J22" s="48" t="s">
        <v>147</v>
      </c>
      <c r="K22" s="53" t="s">
        <v>148</v>
      </c>
      <c r="L22" s="48" t="s">
        <v>147</v>
      </c>
      <c r="M22" s="53" t="s">
        <v>148</v>
      </c>
      <c r="N22" s="48" t="s">
        <v>147</v>
      </c>
      <c r="O22" s="53" t="s">
        <v>148</v>
      </c>
      <c r="P22" s="48" t="s">
        <v>147</v>
      </c>
      <c r="Q22" s="53" t="s">
        <v>148</v>
      </c>
      <c r="R22" s="48" t="s">
        <v>147</v>
      </c>
    </row>
    <row r="23" spans="1:18" x14ac:dyDescent="0.3">
      <c r="A23">
        <v>1</v>
      </c>
      <c r="B23">
        <v>1</v>
      </c>
      <c r="C23" s="149">
        <v>6.5</v>
      </c>
      <c r="D23" s="48">
        <f>$B23*C23</f>
        <v>6.5</v>
      </c>
      <c r="E23" s="149">
        <v>8.5</v>
      </c>
      <c r="F23" s="48">
        <f>$B23*E23</f>
        <v>8.5</v>
      </c>
      <c r="G23" s="149">
        <v>6.5</v>
      </c>
      <c r="H23" s="48">
        <f>$B23*G23</f>
        <v>6.5</v>
      </c>
      <c r="I23" s="149"/>
      <c r="J23" s="48">
        <f>$B23*I23</f>
        <v>0</v>
      </c>
      <c r="K23" s="149"/>
      <c r="L23" s="48">
        <f>$B23*K23</f>
        <v>0</v>
      </c>
      <c r="M23" s="149"/>
      <c r="N23" s="48">
        <f>$B23*M23</f>
        <v>0</v>
      </c>
      <c r="O23" s="149"/>
      <c r="P23" s="48">
        <f>$B23*O23</f>
        <v>0</v>
      </c>
      <c r="Q23" s="149"/>
      <c r="R23" s="48">
        <f>$B23*Q23</f>
        <v>0</v>
      </c>
    </row>
    <row r="24" spans="1:18" x14ac:dyDescent="0.3">
      <c r="A24">
        <v>2</v>
      </c>
      <c r="B24">
        <v>1</v>
      </c>
      <c r="C24" s="149">
        <v>8.5</v>
      </c>
      <c r="D24" s="48">
        <f t="shared" ref="D24:D50" si="3">$B24*C24</f>
        <v>8.5</v>
      </c>
      <c r="E24" s="149">
        <v>8.5</v>
      </c>
      <c r="F24" s="48">
        <f t="shared" ref="F24" si="4">$B24*E24</f>
        <v>8.5</v>
      </c>
      <c r="G24" s="149">
        <v>7</v>
      </c>
      <c r="H24" s="48">
        <f t="shared" ref="H24" si="5">$B24*G24</f>
        <v>7</v>
      </c>
      <c r="I24" s="149"/>
      <c r="J24" s="48">
        <f t="shared" ref="J24" si="6">$B24*I24</f>
        <v>0</v>
      </c>
      <c r="K24" s="149"/>
      <c r="L24" s="48">
        <f t="shared" ref="L24" si="7">$B24*K24</f>
        <v>0</v>
      </c>
      <c r="M24" s="149"/>
      <c r="N24" s="48">
        <f t="shared" ref="N24" si="8">$B24*M24</f>
        <v>0</v>
      </c>
      <c r="O24" s="149"/>
      <c r="P24" s="48">
        <f t="shared" ref="P24" si="9">$B24*O24</f>
        <v>0</v>
      </c>
      <c r="Q24" s="149"/>
      <c r="R24" s="48">
        <f t="shared" ref="R24" si="10">$B24*Q24</f>
        <v>0</v>
      </c>
    </row>
    <row r="25" spans="1:18" x14ac:dyDescent="0.3">
      <c r="A25">
        <v>3</v>
      </c>
      <c r="B25">
        <v>1</v>
      </c>
      <c r="C25" s="149">
        <v>8.5</v>
      </c>
      <c r="D25" s="48">
        <f t="shared" si="3"/>
        <v>8.5</v>
      </c>
      <c r="E25" s="149">
        <v>9</v>
      </c>
      <c r="F25" s="48">
        <f t="shared" ref="F25" si="11">$B25*E25</f>
        <v>9</v>
      </c>
      <c r="G25" s="149">
        <v>7</v>
      </c>
      <c r="H25" s="48">
        <f t="shared" ref="H25" si="12">$B25*G25</f>
        <v>7</v>
      </c>
      <c r="I25" s="149"/>
      <c r="J25" s="48">
        <f t="shared" ref="J25" si="13">$B25*I25</f>
        <v>0</v>
      </c>
      <c r="K25" s="149"/>
      <c r="L25" s="48">
        <f t="shared" ref="L25" si="14">$B25*K25</f>
        <v>0</v>
      </c>
      <c r="M25" s="149"/>
      <c r="N25" s="48">
        <f t="shared" ref="N25" si="15">$B25*M25</f>
        <v>0</v>
      </c>
      <c r="O25" s="149"/>
      <c r="P25" s="48">
        <f t="shared" ref="P25" si="16">$B25*O25</f>
        <v>0</v>
      </c>
      <c r="Q25" s="149"/>
      <c r="R25" s="48">
        <f t="shared" ref="R25" si="17">$B25*Q25</f>
        <v>0</v>
      </c>
    </row>
    <row r="26" spans="1:18" x14ac:dyDescent="0.3">
      <c r="A26">
        <v>4</v>
      </c>
      <c r="B26">
        <v>1</v>
      </c>
      <c r="C26" s="149">
        <v>8.5</v>
      </c>
      <c r="D26" s="48">
        <f t="shared" si="3"/>
        <v>8.5</v>
      </c>
      <c r="E26" s="149">
        <v>8.5</v>
      </c>
      <c r="F26" s="48">
        <f t="shared" ref="F26" si="18">$B26*E26</f>
        <v>8.5</v>
      </c>
      <c r="G26" s="149">
        <v>7</v>
      </c>
      <c r="H26" s="48">
        <f t="shared" ref="H26" si="19">$B26*G26</f>
        <v>7</v>
      </c>
      <c r="I26" s="149"/>
      <c r="J26" s="48">
        <f t="shared" ref="J26" si="20">$B26*I26</f>
        <v>0</v>
      </c>
      <c r="K26" s="149"/>
      <c r="L26" s="48">
        <f t="shared" ref="L26" si="21">$B26*K26</f>
        <v>0</v>
      </c>
      <c r="M26" s="149"/>
      <c r="N26" s="48">
        <f t="shared" ref="N26" si="22">$B26*M26</f>
        <v>0</v>
      </c>
      <c r="O26" s="149"/>
      <c r="P26" s="48">
        <f t="shared" ref="P26" si="23">$B26*O26</f>
        <v>0</v>
      </c>
      <c r="Q26" s="149"/>
      <c r="R26" s="48">
        <f t="shared" ref="R26" si="24">$B26*Q26</f>
        <v>0</v>
      </c>
    </row>
    <row r="27" spans="1:18" x14ac:dyDescent="0.3">
      <c r="A27">
        <v>5</v>
      </c>
      <c r="B27">
        <v>1</v>
      </c>
      <c r="C27" s="149">
        <v>8.5</v>
      </c>
      <c r="D27" s="48">
        <f t="shared" si="3"/>
        <v>8.5</v>
      </c>
      <c r="E27" s="149">
        <v>9</v>
      </c>
      <c r="F27" s="48">
        <f t="shared" ref="F27" si="25">$B27*E27</f>
        <v>9</v>
      </c>
      <c r="G27" s="149">
        <v>5</v>
      </c>
      <c r="H27" s="48">
        <f t="shared" ref="H27" si="26">$B27*G27</f>
        <v>5</v>
      </c>
      <c r="I27" s="149"/>
      <c r="J27" s="48">
        <f t="shared" ref="J27" si="27">$B27*I27</f>
        <v>0</v>
      </c>
      <c r="K27" s="149"/>
      <c r="L27" s="48">
        <f t="shared" ref="L27" si="28">$B27*K27</f>
        <v>0</v>
      </c>
      <c r="M27" s="149"/>
      <c r="N27" s="48">
        <f t="shared" ref="N27" si="29">$B27*M27</f>
        <v>0</v>
      </c>
      <c r="O27" s="149"/>
      <c r="P27" s="48">
        <f t="shared" ref="P27" si="30">$B27*O27</f>
        <v>0</v>
      </c>
      <c r="Q27" s="149"/>
      <c r="R27" s="48">
        <f t="shared" ref="R27" si="31">$B27*Q27</f>
        <v>0</v>
      </c>
    </row>
    <row r="28" spans="1:18" x14ac:dyDescent="0.3">
      <c r="A28">
        <v>6</v>
      </c>
      <c r="B28">
        <v>1</v>
      </c>
      <c r="C28" s="149">
        <v>7</v>
      </c>
      <c r="D28" s="48">
        <f t="shared" si="3"/>
        <v>7</v>
      </c>
      <c r="E28" s="149">
        <v>9</v>
      </c>
      <c r="F28" s="48">
        <f t="shared" ref="F28" si="32">$B28*E28</f>
        <v>9</v>
      </c>
      <c r="G28" s="149">
        <v>5</v>
      </c>
      <c r="H28" s="48">
        <f t="shared" ref="H28" si="33">$B28*G28</f>
        <v>5</v>
      </c>
      <c r="I28" s="149"/>
      <c r="J28" s="48">
        <f t="shared" ref="J28" si="34">$B28*I28</f>
        <v>0</v>
      </c>
      <c r="K28" s="149"/>
      <c r="L28" s="48">
        <f t="shared" ref="L28" si="35">$B28*K28</f>
        <v>0</v>
      </c>
      <c r="M28" s="149"/>
      <c r="N28" s="48">
        <f t="shared" ref="N28" si="36">$B28*M28</f>
        <v>0</v>
      </c>
      <c r="O28" s="149"/>
      <c r="P28" s="48">
        <f t="shared" ref="P28" si="37">$B28*O28</f>
        <v>0</v>
      </c>
      <c r="Q28" s="149"/>
      <c r="R28" s="48">
        <f t="shared" ref="R28" si="38">$B28*Q28</f>
        <v>0</v>
      </c>
    </row>
    <row r="29" spans="1:18" x14ac:dyDescent="0.3">
      <c r="A29">
        <v>7</v>
      </c>
      <c r="B29">
        <v>2</v>
      </c>
      <c r="C29" s="149">
        <v>9</v>
      </c>
      <c r="D29" s="48">
        <f t="shared" si="3"/>
        <v>18</v>
      </c>
      <c r="E29" s="149">
        <v>8.5</v>
      </c>
      <c r="F29" s="48">
        <f t="shared" ref="F29:F30" si="39">$B29*E29</f>
        <v>17</v>
      </c>
      <c r="G29" s="149">
        <v>5</v>
      </c>
      <c r="H29" s="48">
        <f t="shared" ref="H29" si="40">$B29*G29</f>
        <v>10</v>
      </c>
      <c r="I29" s="149"/>
      <c r="J29" s="48">
        <f t="shared" ref="J29" si="41">$B29*I29</f>
        <v>0</v>
      </c>
      <c r="K29" s="149"/>
      <c r="L29" s="48">
        <f t="shared" ref="L29" si="42">$B29*K29</f>
        <v>0</v>
      </c>
      <c r="M29" s="149"/>
      <c r="N29" s="48">
        <f t="shared" ref="N29" si="43">$B29*M29</f>
        <v>0</v>
      </c>
      <c r="O29" s="149"/>
      <c r="P29" s="48">
        <f t="shared" ref="P29" si="44">$B29*O29</f>
        <v>0</v>
      </c>
      <c r="Q29" s="149"/>
      <c r="R29" s="48">
        <f t="shared" ref="R29" si="45">$B29*Q29</f>
        <v>0</v>
      </c>
    </row>
    <row r="30" spans="1:18" x14ac:dyDescent="0.3">
      <c r="A30">
        <v>8</v>
      </c>
      <c r="B30">
        <v>1</v>
      </c>
      <c r="C30" s="149">
        <v>8</v>
      </c>
      <c r="D30" s="48">
        <f t="shared" si="3"/>
        <v>8</v>
      </c>
      <c r="E30" s="149">
        <v>8.5</v>
      </c>
      <c r="F30" s="48">
        <f t="shared" si="39"/>
        <v>8.5</v>
      </c>
      <c r="G30" s="149">
        <v>6</v>
      </c>
      <c r="H30" s="48">
        <f t="shared" ref="H30" si="46">$B30*G30</f>
        <v>6</v>
      </c>
      <c r="I30" s="149"/>
      <c r="J30" s="48">
        <f t="shared" ref="J30" si="47">$B30*I30</f>
        <v>0</v>
      </c>
      <c r="K30" s="149"/>
      <c r="L30" s="48">
        <f t="shared" ref="L30" si="48">$B30*K30</f>
        <v>0</v>
      </c>
      <c r="M30" s="149"/>
      <c r="N30" s="48">
        <f t="shared" ref="N30" si="49">$B30*M30</f>
        <v>0</v>
      </c>
      <c r="O30" s="149"/>
      <c r="P30" s="48">
        <f t="shared" ref="P30" si="50">$B30*O30</f>
        <v>0</v>
      </c>
      <c r="Q30" s="149"/>
      <c r="R30" s="48">
        <f t="shared" ref="R30" si="51">$B30*Q30</f>
        <v>0</v>
      </c>
    </row>
    <row r="31" spans="1:18" x14ac:dyDescent="0.3">
      <c r="A31">
        <v>9</v>
      </c>
      <c r="B31">
        <v>1</v>
      </c>
      <c r="C31" s="149">
        <v>9</v>
      </c>
      <c r="D31" s="48">
        <f t="shared" si="3"/>
        <v>9</v>
      </c>
      <c r="E31" s="149">
        <v>8</v>
      </c>
      <c r="F31" s="48">
        <f t="shared" ref="F31" si="52">$B31*E31</f>
        <v>8</v>
      </c>
      <c r="G31" s="149">
        <v>7</v>
      </c>
      <c r="H31" s="48">
        <f t="shared" ref="H31" si="53">$B31*G31</f>
        <v>7</v>
      </c>
      <c r="I31" s="149"/>
      <c r="J31" s="48">
        <f t="shared" ref="J31" si="54">$B31*I31</f>
        <v>0</v>
      </c>
      <c r="K31" s="149"/>
      <c r="L31" s="48">
        <f t="shared" ref="L31" si="55">$B31*K31</f>
        <v>0</v>
      </c>
      <c r="M31" s="149"/>
      <c r="N31" s="48">
        <f t="shared" ref="N31" si="56">$B31*M31</f>
        <v>0</v>
      </c>
      <c r="O31" s="149"/>
      <c r="P31" s="48">
        <f t="shared" ref="P31" si="57">$B31*O31</f>
        <v>0</v>
      </c>
      <c r="Q31" s="149"/>
      <c r="R31" s="48">
        <f t="shared" ref="R31" si="58">$B31*Q31</f>
        <v>0</v>
      </c>
    </row>
    <row r="32" spans="1:18" x14ac:dyDescent="0.3">
      <c r="A32">
        <v>10</v>
      </c>
      <c r="B32">
        <v>1</v>
      </c>
      <c r="C32" s="149">
        <v>8</v>
      </c>
      <c r="D32" s="48">
        <f t="shared" si="3"/>
        <v>8</v>
      </c>
      <c r="E32" s="149">
        <v>8.5</v>
      </c>
      <c r="F32" s="48">
        <f t="shared" ref="F32" si="59">$B32*E32</f>
        <v>8.5</v>
      </c>
      <c r="G32" s="149">
        <v>7</v>
      </c>
      <c r="H32" s="48">
        <f t="shared" ref="H32" si="60">$B32*G32</f>
        <v>7</v>
      </c>
      <c r="I32" s="149"/>
      <c r="J32" s="48">
        <f t="shared" ref="J32" si="61">$B32*I32</f>
        <v>0</v>
      </c>
      <c r="K32" s="149"/>
      <c r="L32" s="48">
        <f t="shared" ref="L32" si="62">$B32*K32</f>
        <v>0</v>
      </c>
      <c r="M32" s="149"/>
      <c r="N32" s="48">
        <f t="shared" ref="N32" si="63">$B32*M32</f>
        <v>0</v>
      </c>
      <c r="O32" s="149"/>
      <c r="P32" s="48">
        <f t="shared" ref="P32" si="64">$B32*O32</f>
        <v>0</v>
      </c>
      <c r="Q32" s="149"/>
      <c r="R32" s="48">
        <f t="shared" ref="R32" si="65">$B32*Q32</f>
        <v>0</v>
      </c>
    </row>
    <row r="33" spans="1:18" x14ac:dyDescent="0.3">
      <c r="A33">
        <v>11</v>
      </c>
      <c r="B33">
        <v>1</v>
      </c>
      <c r="C33" s="149">
        <v>8.5</v>
      </c>
      <c r="D33" s="48">
        <f t="shared" si="3"/>
        <v>8.5</v>
      </c>
      <c r="E33" s="149">
        <v>8.5</v>
      </c>
      <c r="F33" s="48">
        <f t="shared" ref="F33" si="66">$B33*E33</f>
        <v>8.5</v>
      </c>
      <c r="G33" s="149">
        <v>6</v>
      </c>
      <c r="H33" s="48">
        <f t="shared" ref="H33" si="67">$B33*G33</f>
        <v>6</v>
      </c>
      <c r="I33" s="149"/>
      <c r="J33" s="48">
        <f t="shared" ref="J33" si="68">$B33*I33</f>
        <v>0</v>
      </c>
      <c r="K33" s="149"/>
      <c r="L33" s="48">
        <f t="shared" ref="L33" si="69">$B33*K33</f>
        <v>0</v>
      </c>
      <c r="M33" s="149"/>
      <c r="N33" s="48">
        <f t="shared" ref="N33" si="70">$B33*M33</f>
        <v>0</v>
      </c>
      <c r="O33" s="149"/>
      <c r="P33" s="48">
        <f t="shared" ref="P33" si="71">$B33*O33</f>
        <v>0</v>
      </c>
      <c r="Q33" s="149"/>
      <c r="R33" s="48">
        <f t="shared" ref="R33" si="72">$B33*Q33</f>
        <v>0</v>
      </c>
    </row>
    <row r="34" spans="1:18" x14ac:dyDescent="0.3">
      <c r="A34">
        <v>12</v>
      </c>
      <c r="B34">
        <v>1</v>
      </c>
      <c r="C34" s="149">
        <v>7.5</v>
      </c>
      <c r="D34" s="48">
        <f t="shared" si="3"/>
        <v>7.5</v>
      </c>
      <c r="E34" s="149">
        <v>8.5</v>
      </c>
      <c r="F34" s="48">
        <f t="shared" ref="F34" si="73">$B34*E34</f>
        <v>8.5</v>
      </c>
      <c r="G34" s="149">
        <v>7.5</v>
      </c>
      <c r="H34" s="48">
        <f t="shared" ref="H34" si="74">$B34*G34</f>
        <v>7.5</v>
      </c>
      <c r="I34" s="149"/>
      <c r="J34" s="48">
        <f t="shared" ref="J34" si="75">$B34*I34</f>
        <v>0</v>
      </c>
      <c r="K34" s="149"/>
      <c r="L34" s="48">
        <f t="shared" ref="L34" si="76">$B34*K34</f>
        <v>0</v>
      </c>
      <c r="M34" s="149"/>
      <c r="N34" s="48">
        <f t="shared" ref="N34" si="77">$B34*M34</f>
        <v>0</v>
      </c>
      <c r="O34" s="149"/>
      <c r="P34" s="48">
        <f t="shared" ref="P34" si="78">$B34*O34</f>
        <v>0</v>
      </c>
      <c r="Q34" s="149"/>
      <c r="R34" s="48">
        <f t="shared" ref="R34" si="79">$B34*Q34</f>
        <v>0</v>
      </c>
    </row>
    <row r="35" spans="1:18" x14ac:dyDescent="0.3">
      <c r="A35">
        <v>13</v>
      </c>
      <c r="B35">
        <v>1</v>
      </c>
      <c r="C35" s="149">
        <v>6</v>
      </c>
      <c r="D35" s="48">
        <f t="shared" si="3"/>
        <v>6</v>
      </c>
      <c r="E35" s="149">
        <v>8.5</v>
      </c>
      <c r="F35" s="48">
        <f t="shared" ref="F35" si="80">$B35*E35</f>
        <v>8.5</v>
      </c>
      <c r="G35" s="149">
        <v>7.5</v>
      </c>
      <c r="H35" s="48">
        <f t="shared" ref="H35" si="81">$B35*G35</f>
        <v>7.5</v>
      </c>
      <c r="I35" s="149"/>
      <c r="J35" s="48">
        <f t="shared" ref="J35" si="82">$B35*I35</f>
        <v>0</v>
      </c>
      <c r="K35" s="149"/>
      <c r="L35" s="48">
        <f t="shared" ref="L35" si="83">$B35*K35</f>
        <v>0</v>
      </c>
      <c r="M35" s="149"/>
      <c r="N35" s="48">
        <f t="shared" ref="N35" si="84">$B35*M35</f>
        <v>0</v>
      </c>
      <c r="O35" s="149"/>
      <c r="P35" s="48">
        <f t="shared" ref="P35" si="85">$B35*O35</f>
        <v>0</v>
      </c>
      <c r="Q35" s="149"/>
      <c r="R35" s="48">
        <f t="shared" ref="R35" si="86">$B35*Q35</f>
        <v>0</v>
      </c>
    </row>
    <row r="36" spans="1:18" x14ac:dyDescent="0.3">
      <c r="A36">
        <v>14</v>
      </c>
      <c r="B36">
        <v>1</v>
      </c>
      <c r="C36" s="149">
        <v>6</v>
      </c>
      <c r="D36" s="48">
        <f t="shared" si="3"/>
        <v>6</v>
      </c>
      <c r="E36" s="149">
        <v>9</v>
      </c>
      <c r="F36" s="48">
        <f t="shared" ref="F36" si="87">$B36*E36</f>
        <v>9</v>
      </c>
      <c r="G36" s="149">
        <v>8</v>
      </c>
      <c r="H36" s="48">
        <f t="shared" ref="H36" si="88">$B36*G36</f>
        <v>8</v>
      </c>
      <c r="I36" s="149"/>
      <c r="J36" s="48">
        <f t="shared" ref="J36" si="89">$B36*I36</f>
        <v>0</v>
      </c>
      <c r="K36" s="149"/>
      <c r="L36" s="48">
        <f t="shared" ref="L36" si="90">$B36*K36</f>
        <v>0</v>
      </c>
      <c r="M36" s="149"/>
      <c r="N36" s="48">
        <f t="shared" ref="N36" si="91">$B36*M36</f>
        <v>0</v>
      </c>
      <c r="O36" s="149"/>
      <c r="P36" s="48">
        <f t="shared" ref="P36" si="92">$B36*O36</f>
        <v>0</v>
      </c>
      <c r="Q36" s="149"/>
      <c r="R36" s="48">
        <f t="shared" ref="R36" si="93">$B36*Q36</f>
        <v>0</v>
      </c>
    </row>
    <row r="37" spans="1:18" x14ac:dyDescent="0.3">
      <c r="A37">
        <v>15</v>
      </c>
      <c r="B37">
        <v>1</v>
      </c>
      <c r="C37" s="149">
        <v>5</v>
      </c>
      <c r="D37" s="48">
        <f t="shared" si="3"/>
        <v>5</v>
      </c>
      <c r="E37" s="149">
        <v>7.5</v>
      </c>
      <c r="F37" s="48">
        <f t="shared" ref="F37" si="94">$B37*E37</f>
        <v>7.5</v>
      </c>
      <c r="G37" s="149">
        <v>8</v>
      </c>
      <c r="H37" s="48">
        <f t="shared" ref="H37" si="95">$B37*G37</f>
        <v>8</v>
      </c>
      <c r="I37" s="149"/>
      <c r="J37" s="48">
        <f t="shared" ref="J37" si="96">$B37*I37</f>
        <v>0</v>
      </c>
      <c r="K37" s="149"/>
      <c r="L37" s="48">
        <f t="shared" ref="L37" si="97">$B37*K37</f>
        <v>0</v>
      </c>
      <c r="M37" s="149"/>
      <c r="N37" s="48">
        <f t="shared" ref="N37" si="98">$B37*M37</f>
        <v>0</v>
      </c>
      <c r="O37" s="149"/>
      <c r="P37" s="48">
        <f t="shared" ref="P37" si="99">$B37*O37</f>
        <v>0</v>
      </c>
      <c r="Q37" s="149"/>
      <c r="R37" s="48">
        <f t="shared" ref="R37" si="100">$B37*Q37</f>
        <v>0</v>
      </c>
    </row>
    <row r="38" spans="1:18" x14ac:dyDescent="0.3">
      <c r="A38">
        <v>1</v>
      </c>
      <c r="B38">
        <v>2</v>
      </c>
      <c r="C38" s="149">
        <v>8</v>
      </c>
      <c r="D38" s="48">
        <f t="shared" si="3"/>
        <v>16</v>
      </c>
      <c r="E38" s="149">
        <v>9</v>
      </c>
      <c r="F38" s="48">
        <f t="shared" ref="F38" si="101">$B38*E38</f>
        <v>18</v>
      </c>
      <c r="G38" s="149">
        <v>7</v>
      </c>
      <c r="H38" s="48">
        <f t="shared" ref="H38" si="102">$B38*G38</f>
        <v>14</v>
      </c>
      <c r="I38" s="149"/>
      <c r="J38" s="48">
        <f t="shared" ref="J38" si="103">$B38*I38</f>
        <v>0</v>
      </c>
      <c r="K38" s="149"/>
      <c r="L38" s="48">
        <f t="shared" ref="L38" si="104">$B38*K38</f>
        <v>0</v>
      </c>
      <c r="M38" s="149"/>
      <c r="N38" s="48">
        <f t="shared" ref="N38" si="105">$B38*M38</f>
        <v>0</v>
      </c>
      <c r="O38" s="149"/>
      <c r="P38" s="48">
        <f t="shared" ref="P38" si="106">$B38*O38</f>
        <v>0</v>
      </c>
      <c r="Q38" s="149"/>
      <c r="R38" s="48">
        <f t="shared" ref="R38" si="107">$B38*Q38</f>
        <v>0</v>
      </c>
    </row>
    <row r="39" spans="1:18" x14ac:dyDescent="0.3">
      <c r="C39" s="149"/>
      <c r="D39" s="48">
        <f t="shared" si="3"/>
        <v>0</v>
      </c>
      <c r="E39" s="149"/>
      <c r="F39" s="48">
        <f t="shared" ref="F39" si="108">$B39*E39</f>
        <v>0</v>
      </c>
      <c r="G39" s="149"/>
      <c r="H39" s="48">
        <f t="shared" ref="H39" si="109">$B39*G39</f>
        <v>0</v>
      </c>
      <c r="I39" s="149"/>
      <c r="J39" s="48">
        <f t="shared" ref="J39" si="110">$B39*I39</f>
        <v>0</v>
      </c>
      <c r="K39" s="149"/>
      <c r="L39" s="48">
        <f t="shared" ref="L39" si="111">$B39*K39</f>
        <v>0</v>
      </c>
      <c r="M39" s="149"/>
      <c r="N39" s="48">
        <f t="shared" ref="N39" si="112">$B39*M39</f>
        <v>0</v>
      </c>
      <c r="O39" s="149"/>
      <c r="P39" s="48">
        <f t="shared" ref="P39" si="113">$B39*O39</f>
        <v>0</v>
      </c>
      <c r="Q39" s="149"/>
      <c r="R39" s="48">
        <f t="shared" ref="R39" si="114">$B39*Q39</f>
        <v>0</v>
      </c>
    </row>
    <row r="40" spans="1:18" x14ac:dyDescent="0.3">
      <c r="C40" s="149"/>
      <c r="D40" s="48">
        <f t="shared" si="3"/>
        <v>0</v>
      </c>
      <c r="E40" s="149"/>
      <c r="F40" s="48">
        <f t="shared" ref="F40" si="115">$B40*E40</f>
        <v>0</v>
      </c>
      <c r="G40" s="149"/>
      <c r="H40" s="48">
        <f t="shared" ref="H40" si="116">$B40*G40</f>
        <v>0</v>
      </c>
      <c r="I40" s="149"/>
      <c r="J40" s="48">
        <f t="shared" ref="J40" si="117">$B40*I40</f>
        <v>0</v>
      </c>
      <c r="K40" s="149"/>
      <c r="L40" s="48">
        <f t="shared" ref="L40" si="118">$B40*K40</f>
        <v>0</v>
      </c>
      <c r="M40" s="149"/>
      <c r="N40" s="48">
        <f t="shared" ref="N40" si="119">$B40*M40</f>
        <v>0</v>
      </c>
      <c r="O40" s="149"/>
      <c r="P40" s="48">
        <f t="shared" ref="P40" si="120">$B40*O40</f>
        <v>0</v>
      </c>
      <c r="Q40" s="149"/>
      <c r="R40" s="48">
        <f t="shared" ref="R40" si="121">$B40*Q40</f>
        <v>0</v>
      </c>
    </row>
    <row r="41" spans="1:18" x14ac:dyDescent="0.3">
      <c r="B41">
        <v>1</v>
      </c>
      <c r="C41" s="149"/>
      <c r="D41" s="48">
        <f t="shared" si="3"/>
        <v>0</v>
      </c>
      <c r="E41" s="149"/>
      <c r="F41" s="48">
        <f t="shared" ref="F41" si="122">$B41*E41</f>
        <v>0</v>
      </c>
      <c r="G41" s="149"/>
      <c r="H41" s="48">
        <f t="shared" ref="H41" si="123">$B41*G41</f>
        <v>0</v>
      </c>
      <c r="I41" s="149"/>
      <c r="J41" s="48">
        <f t="shared" ref="J41" si="124">$B41*I41</f>
        <v>0</v>
      </c>
      <c r="K41" s="149"/>
      <c r="L41" s="48">
        <f t="shared" ref="L41" si="125">$B41*K41</f>
        <v>0</v>
      </c>
      <c r="M41" s="149"/>
      <c r="N41" s="48">
        <f t="shared" ref="N41" si="126">$B41*M41</f>
        <v>0</v>
      </c>
      <c r="O41" s="149"/>
      <c r="P41" s="48">
        <f t="shared" ref="P41" si="127">$B41*O41</f>
        <v>0</v>
      </c>
      <c r="Q41" s="149"/>
      <c r="R41" s="48">
        <f t="shared" ref="R41" si="128">$B41*Q41</f>
        <v>0</v>
      </c>
    </row>
    <row r="42" spans="1:18" x14ac:dyDescent="0.3">
      <c r="B42">
        <v>1</v>
      </c>
      <c r="C42" s="149"/>
      <c r="D42" s="48">
        <f t="shared" si="3"/>
        <v>0</v>
      </c>
      <c r="E42" s="149"/>
      <c r="F42" s="48">
        <f t="shared" ref="F42" si="129">$B42*E42</f>
        <v>0</v>
      </c>
      <c r="G42" s="149"/>
      <c r="H42" s="48">
        <f t="shared" ref="H42" si="130">$B42*G42</f>
        <v>0</v>
      </c>
      <c r="I42" s="149"/>
      <c r="J42" s="48">
        <f t="shared" ref="J42" si="131">$B42*I42</f>
        <v>0</v>
      </c>
      <c r="K42" s="149"/>
      <c r="L42" s="48">
        <f t="shared" ref="L42" si="132">$B42*K42</f>
        <v>0</v>
      </c>
      <c r="M42" s="149"/>
      <c r="N42" s="48">
        <f t="shared" ref="N42" si="133">$B42*M42</f>
        <v>0</v>
      </c>
      <c r="O42" s="149"/>
      <c r="P42" s="48">
        <f t="shared" ref="P42" si="134">$B42*O42</f>
        <v>0</v>
      </c>
      <c r="Q42" s="149"/>
      <c r="R42" s="48">
        <f t="shared" ref="R42" si="135">$B42*Q42</f>
        <v>0</v>
      </c>
    </row>
    <row r="43" spans="1:18" x14ac:dyDescent="0.3">
      <c r="B43">
        <v>1</v>
      </c>
      <c r="C43" s="149"/>
      <c r="D43" s="48">
        <f t="shared" si="3"/>
        <v>0</v>
      </c>
      <c r="E43" s="149"/>
      <c r="F43" s="48">
        <f t="shared" ref="F43" si="136">$B43*E43</f>
        <v>0</v>
      </c>
      <c r="G43" s="149"/>
      <c r="H43" s="48">
        <f t="shared" ref="H43" si="137">$B43*G43</f>
        <v>0</v>
      </c>
      <c r="I43" s="149"/>
      <c r="J43" s="48">
        <f t="shared" ref="J43" si="138">$B43*I43</f>
        <v>0</v>
      </c>
      <c r="K43" s="149"/>
      <c r="L43" s="48">
        <f t="shared" ref="L43" si="139">$B43*K43</f>
        <v>0</v>
      </c>
      <c r="M43" s="149"/>
      <c r="N43" s="48">
        <f t="shared" ref="N43" si="140">$B43*M43</f>
        <v>0</v>
      </c>
      <c r="O43" s="149"/>
      <c r="P43" s="48">
        <f t="shared" ref="P43" si="141">$B43*O43</f>
        <v>0</v>
      </c>
      <c r="Q43" s="149"/>
      <c r="R43" s="48">
        <f t="shared" ref="R43" si="142">$B43*Q43</f>
        <v>0</v>
      </c>
    </row>
    <row r="44" spans="1:18" x14ac:dyDescent="0.3">
      <c r="B44">
        <v>1</v>
      </c>
      <c r="C44" s="149"/>
      <c r="D44" s="48">
        <f t="shared" si="3"/>
        <v>0</v>
      </c>
      <c r="E44" s="149"/>
      <c r="F44" s="48">
        <f t="shared" ref="F44" si="143">$B44*E44</f>
        <v>0</v>
      </c>
      <c r="G44" s="149"/>
      <c r="H44" s="48">
        <f t="shared" ref="H44" si="144">$B44*G44</f>
        <v>0</v>
      </c>
      <c r="I44" s="149"/>
      <c r="J44" s="48">
        <f t="shared" ref="J44" si="145">$B44*I44</f>
        <v>0</v>
      </c>
      <c r="K44" s="149"/>
      <c r="L44" s="48">
        <f t="shared" ref="L44" si="146">$B44*K44</f>
        <v>0</v>
      </c>
      <c r="M44" s="149"/>
      <c r="N44" s="48">
        <f t="shared" ref="N44" si="147">$B44*M44</f>
        <v>0</v>
      </c>
      <c r="O44" s="149"/>
      <c r="P44" s="48">
        <f t="shared" ref="P44" si="148">$B44*O44</f>
        <v>0</v>
      </c>
      <c r="Q44" s="149"/>
      <c r="R44" s="48">
        <f t="shared" ref="R44" si="149">$B44*Q44</f>
        <v>0</v>
      </c>
    </row>
    <row r="45" spans="1:18" x14ac:dyDescent="0.3">
      <c r="B45">
        <v>1</v>
      </c>
      <c r="C45" s="149"/>
      <c r="D45" s="48">
        <f t="shared" si="3"/>
        <v>0</v>
      </c>
      <c r="E45" s="149"/>
      <c r="F45" s="48">
        <f t="shared" ref="F45" si="150">$B45*E45</f>
        <v>0</v>
      </c>
      <c r="G45" s="149"/>
      <c r="H45" s="48">
        <f t="shared" ref="H45" si="151">$B45*G45</f>
        <v>0</v>
      </c>
      <c r="I45" s="149"/>
      <c r="J45" s="48">
        <f t="shared" ref="J45" si="152">$B45*I45</f>
        <v>0</v>
      </c>
      <c r="K45" s="149"/>
      <c r="L45" s="48">
        <f t="shared" ref="L45" si="153">$B45*K45</f>
        <v>0</v>
      </c>
      <c r="M45" s="149"/>
      <c r="N45" s="48">
        <f t="shared" ref="N45" si="154">$B45*M45</f>
        <v>0</v>
      </c>
      <c r="O45" s="149"/>
      <c r="P45" s="48">
        <f t="shared" ref="P45" si="155">$B45*O45</f>
        <v>0</v>
      </c>
      <c r="Q45" s="149"/>
      <c r="R45" s="48">
        <f t="shared" ref="R45" si="156">$B45*Q45</f>
        <v>0</v>
      </c>
    </row>
    <row r="46" spans="1:18" x14ac:dyDescent="0.3">
      <c r="B46">
        <v>1</v>
      </c>
      <c r="C46" s="149"/>
      <c r="D46" s="48">
        <f t="shared" si="3"/>
        <v>0</v>
      </c>
      <c r="E46" s="149"/>
      <c r="F46" s="48">
        <f t="shared" ref="F46" si="157">$B46*E46</f>
        <v>0</v>
      </c>
      <c r="G46" s="149"/>
      <c r="H46" s="48">
        <f t="shared" ref="H46" si="158">$B46*G46</f>
        <v>0</v>
      </c>
      <c r="I46" s="149"/>
      <c r="J46" s="48">
        <f t="shared" ref="J46" si="159">$B46*I46</f>
        <v>0</v>
      </c>
      <c r="K46" s="149"/>
      <c r="L46" s="48">
        <f t="shared" ref="L46" si="160">$B46*K46</f>
        <v>0</v>
      </c>
      <c r="M46" s="149"/>
      <c r="N46" s="48">
        <f t="shared" ref="N46" si="161">$B46*M46</f>
        <v>0</v>
      </c>
      <c r="O46" s="149"/>
      <c r="P46" s="48">
        <f t="shared" ref="P46" si="162">$B46*O46</f>
        <v>0</v>
      </c>
      <c r="Q46" s="149"/>
      <c r="R46" s="48">
        <f t="shared" ref="R46" si="163">$B46*Q46</f>
        <v>0</v>
      </c>
    </row>
    <row r="47" spans="1:18" x14ac:dyDescent="0.3">
      <c r="B47">
        <v>1</v>
      </c>
      <c r="C47" s="149"/>
      <c r="D47" s="48">
        <f t="shared" si="3"/>
        <v>0</v>
      </c>
      <c r="E47" s="149"/>
      <c r="F47" s="48">
        <f t="shared" ref="F47" si="164">$B47*E47</f>
        <v>0</v>
      </c>
      <c r="G47" s="149"/>
      <c r="H47" s="48">
        <f t="shared" ref="H47" si="165">$B47*G47</f>
        <v>0</v>
      </c>
      <c r="I47" s="149"/>
      <c r="J47" s="48">
        <f t="shared" ref="J47" si="166">$B47*I47</f>
        <v>0</v>
      </c>
      <c r="K47" s="149"/>
      <c r="L47" s="48">
        <f t="shared" ref="L47" si="167">$B47*K47</f>
        <v>0</v>
      </c>
      <c r="M47" s="149"/>
      <c r="N47" s="48">
        <f t="shared" ref="N47" si="168">$B47*M47</f>
        <v>0</v>
      </c>
      <c r="O47" s="149"/>
      <c r="P47" s="48">
        <f t="shared" ref="P47" si="169">$B47*O47</f>
        <v>0</v>
      </c>
      <c r="Q47" s="149"/>
      <c r="R47" s="48">
        <f t="shared" ref="R47" si="170">$B47*Q47</f>
        <v>0</v>
      </c>
    </row>
    <row r="48" spans="1:18" x14ac:dyDescent="0.3">
      <c r="B48">
        <v>1</v>
      </c>
      <c r="C48" s="149"/>
      <c r="D48" s="48">
        <f t="shared" si="3"/>
        <v>0</v>
      </c>
      <c r="E48" s="149"/>
      <c r="F48" s="48">
        <f t="shared" ref="F48" si="171">$B48*E48</f>
        <v>0</v>
      </c>
      <c r="G48" s="149"/>
      <c r="H48" s="48">
        <f t="shared" ref="H48" si="172">$B48*G48</f>
        <v>0</v>
      </c>
      <c r="I48" s="149"/>
      <c r="J48" s="48">
        <f t="shared" ref="J48" si="173">$B48*I48</f>
        <v>0</v>
      </c>
      <c r="K48" s="149"/>
      <c r="L48" s="48">
        <f t="shared" ref="L48" si="174">$B48*K48</f>
        <v>0</v>
      </c>
      <c r="M48" s="149"/>
      <c r="N48" s="48">
        <f t="shared" ref="N48" si="175">$B48*M48</f>
        <v>0</v>
      </c>
      <c r="O48" s="149"/>
      <c r="P48" s="48">
        <f t="shared" ref="P48" si="176">$B48*O48</f>
        <v>0</v>
      </c>
      <c r="Q48" s="149"/>
      <c r="R48" s="48">
        <f t="shared" ref="R48" si="177">$B48*Q48</f>
        <v>0</v>
      </c>
    </row>
    <row r="49" spans="1:18" x14ac:dyDescent="0.3">
      <c r="B49">
        <v>1</v>
      </c>
      <c r="C49" s="149"/>
      <c r="D49" s="48">
        <f t="shared" si="3"/>
        <v>0</v>
      </c>
      <c r="E49" s="149"/>
      <c r="F49" s="48">
        <f t="shared" ref="F49" si="178">$B49*E49</f>
        <v>0</v>
      </c>
      <c r="G49" s="149"/>
      <c r="H49" s="48">
        <f t="shared" ref="H49" si="179">$B49*G49</f>
        <v>0</v>
      </c>
      <c r="I49" s="149"/>
      <c r="J49" s="48">
        <f t="shared" ref="J49" si="180">$B49*I49</f>
        <v>0</v>
      </c>
      <c r="K49" s="149"/>
      <c r="L49" s="48">
        <f t="shared" ref="L49" si="181">$B49*K49</f>
        <v>0</v>
      </c>
      <c r="M49" s="149"/>
      <c r="N49" s="48">
        <f t="shared" ref="N49" si="182">$B49*M49</f>
        <v>0</v>
      </c>
      <c r="O49" s="149"/>
      <c r="P49" s="48">
        <f t="shared" ref="P49" si="183">$B49*O49</f>
        <v>0</v>
      </c>
      <c r="Q49" s="149"/>
      <c r="R49" s="48">
        <f t="shared" ref="R49" si="184">$B49*Q49</f>
        <v>0</v>
      </c>
    </row>
    <row r="50" spans="1:18" x14ac:dyDescent="0.3">
      <c r="B50">
        <v>1</v>
      </c>
      <c r="C50" s="149"/>
      <c r="D50" s="48">
        <f t="shared" si="3"/>
        <v>0</v>
      </c>
      <c r="E50" s="149"/>
      <c r="F50" s="48">
        <f t="shared" ref="F50" si="185">$B50*E50</f>
        <v>0</v>
      </c>
      <c r="G50" s="149"/>
      <c r="H50" s="48">
        <f t="shared" ref="H50" si="186">$B50*G50</f>
        <v>0</v>
      </c>
      <c r="I50" s="149"/>
      <c r="J50" s="48">
        <f t="shared" ref="J50" si="187">$B50*I50</f>
        <v>0</v>
      </c>
      <c r="K50" s="149"/>
      <c r="L50" s="48">
        <f t="shared" ref="L50" si="188">$B50*K50</f>
        <v>0</v>
      </c>
      <c r="M50" s="149"/>
      <c r="N50" s="48">
        <f t="shared" ref="N50" si="189">$B50*M50</f>
        <v>0</v>
      </c>
      <c r="O50" s="149"/>
      <c r="P50" s="48">
        <f t="shared" ref="P50" si="190">$B50*O50</f>
        <v>0</v>
      </c>
      <c r="Q50" s="149"/>
      <c r="R50" s="48">
        <f t="shared" ref="R50" si="191">$B50*Q50</f>
        <v>0</v>
      </c>
    </row>
    <row r="51" spans="1:18" x14ac:dyDescent="0.3">
      <c r="A51" t="s">
        <v>149</v>
      </c>
      <c r="C51" s="53"/>
      <c r="D51" s="48"/>
      <c r="E51" s="53"/>
      <c r="F51" s="48"/>
      <c r="G51" s="53"/>
      <c r="H51" s="48"/>
      <c r="I51" s="53"/>
      <c r="J51" s="48"/>
      <c r="K51" s="53"/>
      <c r="L51" s="48"/>
      <c r="M51" s="53"/>
      <c r="N51" s="48"/>
      <c r="O51" s="53"/>
      <c r="P51" s="48"/>
      <c r="Q51" s="53"/>
      <c r="R51" s="48"/>
    </row>
    <row r="52" spans="1:18" ht="15" thickBot="1" x14ac:dyDescent="0.35">
      <c r="A52" t="s">
        <v>146</v>
      </c>
      <c r="C52" s="67"/>
      <c r="D52" s="150">
        <f>SUM(D23:D51)</f>
        <v>139.5</v>
      </c>
      <c r="E52" s="67"/>
      <c r="F52" s="150">
        <f>SUM(F23:F51)</f>
        <v>154.5</v>
      </c>
      <c r="G52" s="67"/>
      <c r="H52" s="150">
        <f>SUM(H23:H51)</f>
        <v>118.5</v>
      </c>
      <c r="I52" s="67"/>
      <c r="J52" s="150">
        <f>SUM(J23:J51)</f>
        <v>0</v>
      </c>
      <c r="K52" s="67"/>
      <c r="L52" s="150">
        <f>SUM(L23:L51)</f>
        <v>0</v>
      </c>
      <c r="M52" s="67"/>
      <c r="N52" s="150">
        <f>SUM(N23:N51)</f>
        <v>0</v>
      </c>
      <c r="O52" s="67"/>
      <c r="P52" s="150">
        <f>SUM(P23:P51)</f>
        <v>0</v>
      </c>
      <c r="Q52" s="67"/>
      <c r="R52" s="150">
        <f>SUM(R23:R51)</f>
        <v>0</v>
      </c>
    </row>
  </sheetData>
  <conditionalFormatting sqref="M5:S5 D5:H5 J2">
    <cfRule type="cellIs" dxfId="8" priority="16" operator="greaterThan">
      <formula>1</formula>
    </cfRule>
  </conditionalFormatting>
  <conditionalFormatting sqref="D21">
    <cfRule type="cellIs" dxfId="7" priority="11" operator="equal">
      <formula>"Unjudged"</formula>
    </cfRule>
  </conditionalFormatting>
  <conditionalFormatting sqref="F21">
    <cfRule type="cellIs" dxfId="6" priority="7" operator="equal">
      <formula>"Unjudged"</formula>
    </cfRule>
  </conditionalFormatting>
  <conditionalFormatting sqref="H21">
    <cfRule type="cellIs" dxfId="5" priority="6" operator="equal">
      <formula>"Unjudged"</formula>
    </cfRule>
  </conditionalFormatting>
  <conditionalFormatting sqref="J21">
    <cfRule type="cellIs" dxfId="4" priority="5" operator="equal">
      <formula>"Unjudged"</formula>
    </cfRule>
  </conditionalFormatting>
  <conditionalFormatting sqref="L21">
    <cfRule type="cellIs" dxfId="3" priority="4" operator="equal">
      <formula>"Unjudged"</formula>
    </cfRule>
  </conditionalFormatting>
  <conditionalFormatting sqref="N21">
    <cfRule type="cellIs" dxfId="2" priority="3" operator="equal">
      <formula>"Unjudged"</formula>
    </cfRule>
  </conditionalFormatting>
  <conditionalFormatting sqref="P21">
    <cfRule type="cellIs" dxfId="1" priority="2" operator="equal">
      <formula>"Unjudged"</formula>
    </cfRule>
  </conditionalFormatting>
  <conditionalFormatting sqref="R21">
    <cfRule type="cellIs" dxfId="0" priority="1" operator="equal">
      <formula>"Unjudged"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>
      <selection activeCell="C7" sqref="C7"/>
    </sheetView>
  </sheetViews>
  <sheetFormatPr defaultRowHeight="14.4" x14ac:dyDescent="0.3"/>
  <cols>
    <col min="1" max="1" width="9" bestFit="1" customWidth="1"/>
    <col min="2" max="2" width="19.33203125" bestFit="1" customWidth="1"/>
    <col min="3" max="3" width="18.5546875" bestFit="1" customWidth="1"/>
    <col min="6" max="6" width="19.44140625" customWidth="1"/>
    <col min="7" max="7" width="21.44140625" bestFit="1" customWidth="1"/>
  </cols>
  <sheetData>
    <row r="1" spans="1:7" ht="18" x14ac:dyDescent="0.35">
      <c r="A1" s="4" t="s">
        <v>34</v>
      </c>
      <c r="F1" s="89" t="s">
        <v>164</v>
      </c>
      <c r="G1" s="193" t="s">
        <v>242</v>
      </c>
    </row>
    <row r="2" spans="1:7" x14ac:dyDescent="0.3">
      <c r="A2" s="89" t="s">
        <v>95</v>
      </c>
      <c r="B2" s="89" t="s">
        <v>97</v>
      </c>
      <c r="C2" s="89" t="s">
        <v>96</v>
      </c>
      <c r="F2" s="89" t="s">
        <v>165</v>
      </c>
      <c r="G2" s="194" t="s">
        <v>243</v>
      </c>
    </row>
    <row r="3" spans="1:7" x14ac:dyDescent="0.3">
      <c r="A3" s="84">
        <v>70</v>
      </c>
      <c r="B3" t="s">
        <v>236</v>
      </c>
      <c r="C3" t="s">
        <v>237</v>
      </c>
      <c r="F3" s="89" t="s">
        <v>166</v>
      </c>
      <c r="G3" s="195" t="s">
        <v>244</v>
      </c>
    </row>
    <row r="4" spans="1:7" x14ac:dyDescent="0.3">
      <c r="A4" s="84">
        <v>51</v>
      </c>
      <c r="B4" t="s">
        <v>238</v>
      </c>
      <c r="C4" t="s">
        <v>240</v>
      </c>
    </row>
    <row r="5" spans="1:7" x14ac:dyDescent="0.3">
      <c r="A5" s="84">
        <v>41</v>
      </c>
      <c r="B5" t="s">
        <v>239</v>
      </c>
      <c r="C5" t="s">
        <v>241</v>
      </c>
      <c r="F5" s="89" t="s">
        <v>167</v>
      </c>
      <c r="G5" s="193">
        <v>1685</v>
      </c>
    </row>
    <row r="6" spans="1:7" x14ac:dyDescent="0.3">
      <c r="A6" s="84">
        <v>43</v>
      </c>
      <c r="B6" t="s">
        <v>247</v>
      </c>
      <c r="C6" t="s">
        <v>248</v>
      </c>
      <c r="F6" s="89" t="s">
        <v>168</v>
      </c>
      <c r="G6" s="193">
        <v>325</v>
      </c>
    </row>
    <row r="7" spans="1:7" x14ac:dyDescent="0.3">
      <c r="A7" s="84"/>
      <c r="F7" s="89" t="s">
        <v>169</v>
      </c>
      <c r="G7" s="193">
        <v>350</v>
      </c>
    </row>
    <row r="8" spans="1:7" x14ac:dyDescent="0.3">
      <c r="A8" s="31"/>
    </row>
    <row r="9" spans="1:7" x14ac:dyDescent="0.3">
      <c r="A9" s="31"/>
      <c r="F9" s="3" t="s">
        <v>235</v>
      </c>
    </row>
    <row r="10" spans="1:7" x14ac:dyDescent="0.3">
      <c r="A10" s="31"/>
    </row>
    <row r="11" spans="1:7" x14ac:dyDescent="0.3">
      <c r="A11" s="31"/>
    </row>
    <row r="12" spans="1:7" x14ac:dyDescent="0.3">
      <c r="A12" s="31"/>
    </row>
    <row r="13" spans="1:7" x14ac:dyDescent="0.3">
      <c r="A13" s="31"/>
    </row>
    <row r="14" spans="1:7" x14ac:dyDescent="0.3">
      <c r="A14" s="31"/>
    </row>
    <row r="15" spans="1:7" x14ac:dyDescent="0.3">
      <c r="A15" s="31"/>
    </row>
    <row r="16" spans="1:7" x14ac:dyDescent="0.3">
      <c r="A16" s="31"/>
    </row>
    <row r="17" spans="1:1" x14ac:dyDescent="0.3">
      <c r="A17" s="31"/>
    </row>
    <row r="18" spans="1:1" x14ac:dyDescent="0.3">
      <c r="A18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sqref="A1:A3"/>
    </sheetView>
  </sheetViews>
  <sheetFormatPr defaultRowHeight="14.4" x14ac:dyDescent="0.3"/>
  <cols>
    <col min="1" max="1" width="31.33203125" bestFit="1" customWidth="1"/>
  </cols>
  <sheetData>
    <row r="1" spans="1:1" x14ac:dyDescent="0.3">
      <c r="A1" s="17" t="s">
        <v>33</v>
      </c>
    </row>
    <row r="2" spans="1:1" x14ac:dyDescent="0.3">
      <c r="A2" s="17" t="s">
        <v>31</v>
      </c>
    </row>
    <row r="3" spans="1:1" x14ac:dyDescent="0.3">
      <c r="A3" s="17" t="s">
        <v>32</v>
      </c>
    </row>
  </sheetData>
  <dataValidations count="1">
    <dataValidation showInputMessage="1" showErrorMessage="1" errorTitle="Entry Status?" error="You must choose Judged or Unjudged!" sqref="A2:A3" xr:uid="{00000000-0002-0000-06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Master Score Sheet</vt:lpstr>
      <vt:lpstr>Stadium</vt:lpstr>
      <vt:lpstr>XC Time</vt:lpstr>
      <vt:lpstr>XC Jump</vt:lpstr>
      <vt:lpstr>Dressage</vt:lpstr>
      <vt:lpstr>Order of Go &amp; Master Sheet</vt:lpstr>
      <vt:lpstr>Judged or Unjudged</vt:lpstr>
      <vt:lpstr>'Master Score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Tokar, Robby</dc:creator>
  <cp:lastModifiedBy>Lily Lovette</cp:lastModifiedBy>
  <cp:lastPrinted>2022-08-07T21:02:43Z</cp:lastPrinted>
  <dcterms:created xsi:type="dcterms:W3CDTF">2018-09-10T19:44:47Z</dcterms:created>
  <dcterms:modified xsi:type="dcterms:W3CDTF">2023-05-14T19:53:22Z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